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W:\Geral\OBRAS EDUCAÇÃO\REFORMAS DIVERSAS\REFORMA E.M. PROF. IONYR BASTOS DIAS\PLANILHAS\"/>
    </mc:Choice>
  </mc:AlternateContent>
  <xr:revisionPtr revIDLastSave="0" documentId="8_{ADA08AE7-A5C0-4252-B56B-792C8F2092BC}" xr6:coauthVersionLast="45" xr6:coauthVersionMax="45" xr10:uidLastSave="{00000000-0000-0000-0000-000000000000}"/>
  <bookViews>
    <workbookView xWindow="-120" yWindow="-120" windowWidth="29040" windowHeight="15840" tabRatio="659" xr2:uid="{00000000-000D-0000-FFFF-FFFF00000000}"/>
  </bookViews>
  <sheets>
    <sheet name="PLANILHA ORÇAMENTARIA" sheetId="1" r:id="rId1"/>
    <sheet name="MEMÓRIA DE CÁLCULO" sheetId="7" r:id="rId2"/>
    <sheet name="CRONOGRAMA" sheetId="2" r:id="rId3"/>
    <sheet name="CCU " sheetId="3" r:id="rId4"/>
    <sheet name="COTAÇÃO" sheetId="8" r:id="rId5"/>
  </sheets>
  <externalReferences>
    <externalReference r:id="rId6"/>
  </externalReferences>
  <definedNames>
    <definedName name="_Fill" localSheetId="3">#REF!</definedName>
    <definedName name="_Fill" localSheetId="0">#REF!</definedName>
    <definedName name="_Fill">#REF!</definedName>
    <definedName name="_xlnm._FilterDatabase" localSheetId="0">'PLANILHA ORÇAMENTARIA'!$A$12:$J$198</definedName>
    <definedName name="_Key1" localSheetId="3">#REF!</definedName>
    <definedName name="_Key1" localSheetId="0">#REF!</definedName>
    <definedName name="_Key1">#REF!</definedName>
    <definedName name="_Key2" localSheetId="3">#REF!</definedName>
    <definedName name="_Key2" localSheetId="0">#REF!</definedName>
    <definedName name="_Key2">#REF!</definedName>
    <definedName name="_Order1">255</definedName>
    <definedName name="_Order2">255</definedName>
    <definedName name="_Sort" localSheetId="3">#REF!</definedName>
    <definedName name="_Sort" localSheetId="0">#REF!</definedName>
    <definedName name="_Sort">#REF!</definedName>
    <definedName name="ademir">{#N/A,#N/A,FALSE,"Cronograma";#N/A,#N/A,FALSE,"Cronogr. 2"}</definedName>
    <definedName name="_xlnm.Print_Area" localSheetId="3">'CCU '!$A$1:$F$82</definedName>
    <definedName name="_xlnm.Print_Area" localSheetId="4">COTAÇÃO!$A$1:$E$35</definedName>
    <definedName name="_xlnm.Print_Area" localSheetId="2">CRONOGRAMA!$A$1:$I$58</definedName>
    <definedName name="_xlnm.Print_Area" localSheetId="1">'MEMÓRIA DE CÁLCULO'!$A$1:$H$1037</definedName>
    <definedName name="_xlnm.Print_Area" localSheetId="0">'PLANILHA ORÇAMENTARIA'!$A$1:$I$180</definedName>
    <definedName name="bosta">{#N/A,#N/A,FALSE,"Cronograma";#N/A,#N/A,FALSE,"Cronogr. 2"}</definedName>
    <definedName name="CA´L">{#N/A,#N/A,FALSE,"Cronograma";#N/A,#N/A,FALSE,"Cronogr. 2"}</definedName>
    <definedName name="concorrentes">{#N/A,#N/A,FALSE,"Cronograma";#N/A,#N/A,FALSE,"Cronogr. 2"}</definedName>
    <definedName name="Popular">{#N/A,#N/A,FALSE,"Cronograma";#N/A,#N/A,FALSE,"Cronogr. 2"}</definedName>
    <definedName name="rio">{#N/A,#N/A,FALSE,"Cronograma";#N/A,#N/A,FALSE,"Cronogr. 2"}</definedName>
    <definedName name="ss">{#N/A,#N/A,FALSE,"Cronograma";#N/A,#N/A,FALSE,"Cronogr. 2"}</definedName>
    <definedName name="_xlnm.Print_Titles" localSheetId="3">'CCU '!$A:$F,'CCU '!$1:$7</definedName>
    <definedName name="_xlnm.Print_Titles" localSheetId="2">CRONOGRAMA!$A:$I,CRONOGRAMA!$1:$10</definedName>
    <definedName name="_xlnm.Print_Titles" localSheetId="1">'MEMÓRIA DE CÁLCULO'!$1:$12</definedName>
    <definedName name="_xlnm.Print_Titles" localSheetId="0">'PLANILHA ORÇAMENTARIA'!$A:$I,'PLANILHA ORÇAMENTARIA'!$1:$12</definedName>
    <definedName name="wrn.Cronograma.">{#N/A,#N/A,FALSE,"Cronograma";#N/A,#N/A,FALSE,"Cronogr. 2"}</definedName>
    <definedName name="wrn.GERAL.">{#N/A,#N/A,FALSE,"ET-CAPA";#N/A,#N/A,FALSE,"ET-PAG1";#N/A,#N/A,FALSE,"ET-PAG2";#N/A,#N/A,FALSE,"ET-PAG3";#N/A,#N/A,FALSE,"ET-PAG4";#N/A,#N/A,FALSE,"ET-PAG5"}</definedName>
    <definedName name="wrn.PENDENCIAS.">{#N/A,#N/A,FALSE,"GERAL";#N/A,#N/A,FALSE,"012-96";#N/A,#N/A,FALSE,"018-96";#N/A,#N/A,FALSE,"027-96";#N/A,#N/A,FALSE,"059-96";#N/A,#N/A,FALSE,"076-96";#N/A,#N/A,FALSE,"019-97";#N/A,#N/A,FALSE,"021-97";#N/A,#N/A,FALSE,"022-97";#N/A,#N/A,FALSE,"028-97"}</definedName>
  </definedNames>
  <calcPr calcId="191029" iterateDelta="1E-4"/>
</workbook>
</file>

<file path=xl/calcChain.xml><?xml version="1.0" encoding="utf-8"?>
<calcChain xmlns="http://schemas.openxmlformats.org/spreadsheetml/2006/main">
  <c r="A7" i="8" l="1"/>
  <c r="H954" i="7" l="1"/>
  <c r="H952" i="7"/>
  <c r="D11" i="8"/>
  <c r="F70" i="3"/>
  <c r="F71" i="3" s="1"/>
  <c r="F67" i="3"/>
  <c r="F68" i="3" s="1"/>
  <c r="F72" i="3" s="1"/>
  <c r="H949" i="7" l="1"/>
  <c r="H948" i="7"/>
  <c r="H947" i="7"/>
  <c r="H946" i="7"/>
  <c r="H945" i="7"/>
  <c r="H944" i="7"/>
  <c r="H943" i="7"/>
  <c r="H942" i="7"/>
  <c r="H806" i="7"/>
  <c r="H805" i="7"/>
  <c r="H807" i="7"/>
  <c r="G804" i="7"/>
  <c r="D804" i="7"/>
  <c r="C804" i="7"/>
  <c r="B804" i="7"/>
  <c r="A804" i="7"/>
  <c r="H804" i="7"/>
  <c r="F106" i="1" s="1"/>
  <c r="I106" i="1" s="1"/>
  <c r="H106" i="1"/>
  <c r="H248" i="7"/>
  <c r="H247" i="7"/>
  <c r="H246" i="7"/>
  <c r="H240" i="7"/>
  <c r="H938" i="7"/>
  <c r="H937" i="7"/>
  <c r="H936" i="7"/>
  <c r="H953" i="7"/>
  <c r="G251" i="7"/>
  <c r="D251" i="7"/>
  <c r="C251" i="7"/>
  <c r="B251" i="7"/>
  <c r="A251" i="7"/>
  <c r="H253" i="7"/>
  <c r="H251" i="7" s="1"/>
  <c r="F65" i="1" s="1"/>
  <c r="H65" i="1"/>
  <c r="H590" i="7"/>
  <c r="H558" i="7"/>
  <c r="H526" i="7"/>
  <c r="I65" i="1" l="1"/>
  <c r="H995" i="7" l="1"/>
  <c r="H994" i="7"/>
  <c r="H993" i="7"/>
  <c r="H992" i="7"/>
  <c r="H991" i="7"/>
  <c r="H990" i="7"/>
  <c r="H989" i="7"/>
  <c r="H988" i="7"/>
  <c r="H987" i="7"/>
  <c r="H986" i="7"/>
  <c r="H985" i="7"/>
  <c r="H984" i="7"/>
  <c r="H983" i="7"/>
  <c r="H982" i="7"/>
  <c r="H981" i="7"/>
  <c r="H980" i="7"/>
  <c r="H979" i="7"/>
  <c r="H978" i="7"/>
  <c r="H977" i="7"/>
  <c r="H976" i="7"/>
  <c r="H975" i="7"/>
  <c r="H974" i="7"/>
  <c r="H973" i="7"/>
  <c r="H972"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29" i="7"/>
  <c r="H627" i="7"/>
  <c r="H626" i="7"/>
  <c r="H625" i="7"/>
  <c r="H624" i="7"/>
  <c r="H623" i="7"/>
  <c r="H608" i="7"/>
  <c r="H611" i="7"/>
  <c r="H610" i="7"/>
  <c r="H609" i="7"/>
  <c r="H607" i="7"/>
  <c r="H606" i="7"/>
  <c r="H628" i="7"/>
  <c r="H622" i="7"/>
  <c r="H621" i="7"/>
  <c r="H605" i="7"/>
  <c r="H604" i="7"/>
  <c r="H620" i="7"/>
  <c r="H619" i="7"/>
  <c r="H618" i="7"/>
  <c r="H617" i="7"/>
  <c r="H616" i="7"/>
  <c r="H615" i="7"/>
  <c r="H614" i="7"/>
  <c r="H613" i="7"/>
  <c r="H612" i="7"/>
  <c r="H603" i="7"/>
  <c r="H597" i="7"/>
  <c r="H596" i="7"/>
  <c r="H602" i="7"/>
  <c r="H601" i="7"/>
  <c r="H600" i="7"/>
  <c r="H599" i="7"/>
  <c r="H598" i="7"/>
  <c r="H595" i="7"/>
  <c r="H594" i="7"/>
  <c r="H593"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58" i="7"/>
  <c r="H760" i="7"/>
  <c r="H759" i="7"/>
  <c r="H757" i="7"/>
  <c r="H752" i="7"/>
  <c r="H751" i="7"/>
  <c r="H743" i="7"/>
  <c r="H741" i="7"/>
  <c r="H740" i="7"/>
  <c r="H738" i="7"/>
  <c r="H756" i="7"/>
  <c r="H755" i="7"/>
  <c r="H754" i="7"/>
  <c r="H753" i="7"/>
  <c r="H750" i="7"/>
  <c r="H749" i="7"/>
  <c r="H748" i="7"/>
  <c r="H747" i="7"/>
  <c r="H746" i="7"/>
  <c r="H745" i="7"/>
  <c r="H744" i="7"/>
  <c r="H742" i="7"/>
  <c r="H739" i="7"/>
  <c r="H737" i="7"/>
  <c r="H736" i="7"/>
  <c r="H735" i="7"/>
  <c r="H734" i="7"/>
  <c r="H733" i="7"/>
  <c r="H732" i="7"/>
  <c r="H731" i="7"/>
  <c r="H730" i="7"/>
  <c r="H729" i="7"/>
  <c r="H728" i="7"/>
  <c r="H727" i="7"/>
  <c r="H685" i="7"/>
  <c r="H761" i="7" l="1"/>
  <c r="H657" i="7"/>
  <c r="H589" i="7"/>
  <c r="H588" i="7"/>
  <c r="H587" i="7"/>
  <c r="H586" i="7"/>
  <c r="H585" i="7"/>
  <c r="H584" i="7"/>
  <c r="H583" i="7"/>
  <c r="H582" i="7"/>
  <c r="H581" i="7"/>
  <c r="H580" i="7"/>
  <c r="H579" i="7"/>
  <c r="H578" i="7"/>
  <c r="H577" i="7"/>
  <c r="H576" i="7"/>
  <c r="H575" i="7"/>
  <c r="H574" i="7"/>
  <c r="H573" i="7"/>
  <c r="H572" i="7"/>
  <c r="H571" i="7"/>
  <c r="H570" i="7"/>
  <c r="H569" i="7"/>
  <c r="H568" i="7"/>
  <c r="H567" i="7"/>
  <c r="H566" i="7"/>
  <c r="H565" i="7"/>
  <c r="H564" i="7"/>
  <c r="H563" i="7"/>
  <c r="H562" i="7"/>
  <c r="H561" i="7"/>
  <c r="H557" i="7"/>
  <c r="H556" i="7"/>
  <c r="H525" i="7"/>
  <c r="H524"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387" i="7"/>
  <c r="H386" i="7"/>
  <c r="H385" i="7"/>
  <c r="H384" i="7"/>
  <c r="H383" i="7"/>
  <c r="H345" i="7"/>
  <c r="H346" i="7"/>
  <c r="H344" i="7"/>
  <c r="H343" i="7"/>
  <c r="H342" i="7"/>
  <c r="H361" i="7"/>
  <c r="H360" i="7"/>
  <c r="H359" i="7"/>
  <c r="H358" i="7"/>
  <c r="H355" i="7"/>
  <c r="H354" i="7"/>
  <c r="H353" i="7"/>
  <c r="H352" i="7"/>
  <c r="H203" i="7"/>
  <c r="H390" i="7"/>
  <c r="H389" i="7"/>
  <c r="H349" i="7"/>
  <c r="H348" i="7"/>
  <c r="H388" i="7"/>
  <c r="H382" i="7"/>
  <c r="H381" i="7"/>
  <c r="H380" i="7"/>
  <c r="H379" i="7"/>
  <c r="H378" i="7"/>
  <c r="H377" i="7"/>
  <c r="H376" i="7"/>
  <c r="H375" i="7"/>
  <c r="H374" i="7"/>
  <c r="H373" i="7"/>
  <c r="H372" i="7"/>
  <c r="H371" i="7"/>
  <c r="H370" i="7"/>
  <c r="H369" i="7"/>
  <c r="H368" i="7"/>
  <c r="H367" i="7"/>
  <c r="H366" i="7"/>
  <c r="H365" i="7"/>
  <c r="H364" i="7"/>
  <c r="H404" i="7"/>
  <c r="H337" i="7"/>
  <c r="H336" i="7"/>
  <c r="H403" i="7"/>
  <c r="H400" i="7"/>
  <c r="H319" i="7"/>
  <c r="H394" i="7"/>
  <c r="H318" i="7"/>
  <c r="H393" i="7"/>
  <c r="H399" i="7"/>
  <c r="H398" i="7"/>
  <c r="H397" i="7"/>
  <c r="H396" i="7"/>
  <c r="H395" i="7"/>
  <c r="H405" i="7"/>
  <c r="H406" i="7"/>
  <c r="H339" i="7"/>
  <c r="H338" i="7"/>
  <c r="H328" i="7"/>
  <c r="H327" i="7"/>
  <c r="H402" i="7"/>
  <c r="H401" i="7"/>
  <c r="H326" i="7"/>
  <c r="H309" i="7"/>
  <c r="H310" i="7"/>
  <c r="H311" i="7"/>
  <c r="H312" i="7"/>
  <c r="H313" i="7"/>
  <c r="H314" i="7"/>
  <c r="H315" i="7"/>
  <c r="H316" i="7"/>
  <c r="H317" i="7"/>
  <c r="H320" i="7"/>
  <c r="H321" i="7"/>
  <c r="H322" i="7"/>
  <c r="H323" i="7"/>
  <c r="H324" i="7"/>
  <c r="H325" i="7"/>
  <c r="H329" i="7"/>
  <c r="H330" i="7"/>
  <c r="H331" i="7"/>
  <c r="H332" i="7"/>
  <c r="H333" i="7"/>
  <c r="H334" i="7"/>
  <c r="H335" i="7"/>
  <c r="H340" i="7"/>
  <c r="H341" i="7"/>
  <c r="H347" i="7"/>
  <c r="H304" i="7"/>
  <c r="H303" i="7"/>
  <c r="H301" i="7"/>
  <c r="H302" i="7"/>
  <c r="H300" i="7"/>
  <c r="H299" i="7"/>
  <c r="H298" i="7"/>
  <c r="H297" i="7"/>
  <c r="G1003" i="7"/>
  <c r="D1003" i="7"/>
  <c r="A1003" i="7"/>
  <c r="H1005" i="7"/>
  <c r="H1003" i="7" s="1"/>
  <c r="F158" i="1" s="1"/>
  <c r="H158" i="1"/>
  <c r="H159" i="1"/>
  <c r="H160" i="1"/>
  <c r="H161" i="1"/>
  <c r="H162" i="1"/>
  <c r="H527" i="7" l="1"/>
  <c r="H559" i="7"/>
  <c r="H591" i="7"/>
  <c r="I158" i="1"/>
  <c r="H350" i="7"/>
  <c r="H391" i="7"/>
  <c r="H407" i="7"/>
  <c r="H305" i="7"/>
  <c r="H1016" i="7" l="1"/>
  <c r="H1017" i="7" s="1"/>
  <c r="H1015" i="7" s="1"/>
  <c r="F162" i="1" s="1"/>
  <c r="I162" i="1" s="1"/>
  <c r="G1015" i="7"/>
  <c r="D1015" i="7"/>
  <c r="D1012" i="7"/>
  <c r="G1012" i="7"/>
  <c r="G1009" i="7"/>
  <c r="D1009" i="7"/>
  <c r="G1006" i="7"/>
  <c r="D1006" i="7"/>
  <c r="A1015" i="7"/>
  <c r="A1012" i="7"/>
  <c r="H1014" i="7"/>
  <c r="H1012" i="7" s="1"/>
  <c r="F161" i="1" s="1"/>
  <c r="I161" i="1" s="1"/>
  <c r="A1009" i="7"/>
  <c r="A1006" i="7"/>
  <c r="H1011" i="7"/>
  <c r="H1009" i="7" s="1"/>
  <c r="F160" i="1" s="1"/>
  <c r="I160" i="1" s="1"/>
  <c r="H1008" i="7"/>
  <c r="H1006" i="7" s="1"/>
  <c r="F159" i="1" s="1"/>
  <c r="I159" i="1" s="1"/>
  <c r="H236" i="7" l="1"/>
  <c r="H264" i="7"/>
  <c r="H958" i="7"/>
  <c r="H957" i="7"/>
  <c r="H956" i="7"/>
  <c r="H925" i="7"/>
  <c r="H967" i="7"/>
  <c r="E24" i="3"/>
  <c r="F24" i="3" s="1"/>
  <c r="F25" i="3" s="1"/>
  <c r="F27" i="3"/>
  <c r="F28" i="3" s="1"/>
  <c r="F29" i="3" l="1"/>
  <c r="G127" i="1" s="1"/>
  <c r="H292" i="7"/>
  <c r="H293" i="7" s="1"/>
  <c r="H277" i="7" s="1"/>
  <c r="F74" i="1" s="1"/>
  <c r="G277" i="7"/>
  <c r="D277" i="7"/>
  <c r="C277" i="7"/>
  <c r="B277" i="7"/>
  <c r="A277" i="7"/>
  <c r="H74" i="1"/>
  <c r="H202" i="7"/>
  <c r="H201" i="7"/>
  <c r="H200" i="7"/>
  <c r="H71" i="7"/>
  <c r="H70" i="7"/>
  <c r="H69" i="7"/>
  <c r="H939" i="7"/>
  <c r="H935" i="7"/>
  <c r="H241" i="7"/>
  <c r="H239"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188" i="7"/>
  <c r="H187" i="7"/>
  <c r="H184" i="7"/>
  <c r="H183" i="7"/>
  <c r="H249" i="7"/>
  <c r="H245" i="7"/>
  <c r="H229" i="7"/>
  <c r="H228" i="7"/>
  <c r="H227" i="7"/>
  <c r="H226" i="7"/>
  <c r="H222" i="7"/>
  <c r="H221" i="7"/>
  <c r="H220" i="7"/>
  <c r="H219" i="7"/>
  <c r="H217" i="7"/>
  <c r="H853" i="7"/>
  <c r="H858" i="7"/>
  <c r="H845" i="7"/>
  <c r="H840" i="7"/>
  <c r="H829" i="7"/>
  <c r="H819" i="7"/>
  <c r="H453" i="7"/>
  <c r="H446" i="7"/>
  <c r="H272" i="7"/>
  <c r="H269" i="7"/>
  <c r="H257" i="7"/>
  <c r="H256" i="7"/>
  <c r="H255" i="7"/>
  <c r="H169" i="7"/>
  <c r="H168" i="7"/>
  <c r="H157" i="7"/>
  <c r="H166" i="7"/>
  <c r="H250" i="7" l="1"/>
  <c r="H204" i="7"/>
  <c r="I74" i="1"/>
  <c r="H230" i="7"/>
  <c r="H447" i="7"/>
  <c r="H258" i="7"/>
  <c r="H117" i="7"/>
  <c r="H148" i="7"/>
  <c r="H153" i="7"/>
  <c r="H106" i="7"/>
  <c r="H105" i="7"/>
  <c r="H104" i="7"/>
  <c r="H103" i="7"/>
  <c r="H102" i="7"/>
  <c r="H101" i="7"/>
  <c r="H100" i="7"/>
  <c r="H99" i="7"/>
  <c r="H98" i="7"/>
  <c r="H97" i="7"/>
  <c r="H96" i="7"/>
  <c r="H95" i="7"/>
  <c r="H94" i="7"/>
  <c r="H93" i="7"/>
  <c r="H92" i="7"/>
  <c r="H91" i="7"/>
  <c r="H90" i="7"/>
  <c r="H89" i="7"/>
  <c r="H88" i="7"/>
  <c r="H87" i="7"/>
  <c r="H86" i="7"/>
  <c r="H85" i="7"/>
  <c r="H84" i="7"/>
  <c r="H83" i="7"/>
  <c r="H82" i="7"/>
  <c r="H81" i="7"/>
  <c r="H79" i="7"/>
  <c r="H80" i="7"/>
  <c r="H77" i="7"/>
  <c r="H76" i="7"/>
  <c r="H75" i="7"/>
  <c r="H78" i="7"/>
  <c r="H74" i="7"/>
  <c r="H65" i="7"/>
  <c r="H56" i="7"/>
  <c r="H57" i="7" s="1"/>
  <c r="H154" i="7" l="1"/>
  <c r="H107" i="7"/>
  <c r="H37" i="7"/>
  <c r="H36" i="7"/>
  <c r="H35" i="7"/>
  <c r="H34" i="7"/>
  <c r="H31" i="7"/>
  <c r="H30" i="7"/>
  <c r="H29" i="7"/>
  <c r="H28" i="7"/>
  <c r="H27" i="7"/>
  <c r="H26" i="7"/>
  <c r="H25" i="7"/>
  <c r="G271" i="7"/>
  <c r="D271" i="7"/>
  <c r="C271" i="7"/>
  <c r="B271" i="7"/>
  <c r="A271" i="7"/>
  <c r="H273" i="7"/>
  <c r="H271" i="7" s="1"/>
  <c r="F72" i="1" s="1"/>
  <c r="G268" i="7"/>
  <c r="D268" i="7"/>
  <c r="C268" i="7"/>
  <c r="B268" i="7"/>
  <c r="A268" i="7"/>
  <c r="H270" i="7"/>
  <c r="H268" i="7" s="1"/>
  <c r="F71" i="1" s="1"/>
  <c r="G265" i="7"/>
  <c r="D265" i="7"/>
  <c r="C265" i="7"/>
  <c r="B265" i="7"/>
  <c r="A265" i="7"/>
  <c r="H267" i="7"/>
  <c r="H265" i="7" s="1"/>
  <c r="F70" i="1" s="1"/>
  <c r="H70" i="1"/>
  <c r="H71" i="1"/>
  <c r="H72" i="1"/>
  <c r="G828" i="7"/>
  <c r="D828" i="7"/>
  <c r="C828" i="7"/>
  <c r="B828" i="7"/>
  <c r="A828" i="7"/>
  <c r="H830" i="7"/>
  <c r="H828" i="7" s="1"/>
  <c r="F114" i="1" s="1"/>
  <c r="H114" i="1"/>
  <c r="H1001" i="7"/>
  <c r="H491" i="7"/>
  <c r="H493" i="7" s="1"/>
  <c r="H490" i="7" s="1"/>
  <c r="F92" i="1" s="1"/>
  <c r="G490" i="7"/>
  <c r="D490" i="7"/>
  <c r="C490" i="7"/>
  <c r="B490" i="7"/>
  <c r="A490" i="7"/>
  <c r="H92" i="1"/>
  <c r="H177" i="7"/>
  <c r="H174" i="7"/>
  <c r="I70" i="1" l="1"/>
  <c r="H32" i="7"/>
  <c r="I72" i="1"/>
  <c r="I92" i="1"/>
  <c r="I114" i="1"/>
  <c r="G176" i="7" l="1"/>
  <c r="D176" i="7"/>
  <c r="C176" i="7"/>
  <c r="B176" i="7"/>
  <c r="G173" i="7"/>
  <c r="D173" i="7"/>
  <c r="C173" i="7"/>
  <c r="B173" i="7"/>
  <c r="A176" i="7"/>
  <c r="A173" i="7"/>
  <c r="D172" i="7"/>
  <c r="A172" i="7"/>
  <c r="H178" i="7"/>
  <c r="H176" i="7" s="1"/>
  <c r="F41" i="1" s="1"/>
  <c r="H175" i="7"/>
  <c r="H173" i="7" s="1"/>
  <c r="F40" i="1" s="1"/>
  <c r="A1020" i="7"/>
  <c r="A1019" i="7"/>
  <c r="A1000" i="7"/>
  <c r="A997" i="7"/>
  <c r="A971" i="7"/>
  <c r="A968" i="7"/>
  <c r="A964" i="7"/>
  <c r="A960" i="7"/>
  <c r="A955" i="7"/>
  <c r="A951" i="7"/>
  <c r="A941" i="7"/>
  <c r="A934" i="7"/>
  <c r="A933" i="7"/>
  <c r="A929" i="7"/>
  <c r="A926" i="7"/>
  <c r="A923" i="7"/>
  <c r="A922" i="7"/>
  <c r="A918" i="7"/>
  <c r="A915" i="7"/>
  <c r="A912" i="7"/>
  <c r="A909" i="7"/>
  <c r="A906" i="7"/>
  <c r="A903" i="7"/>
  <c r="A900" i="7"/>
  <c r="A897" i="7"/>
  <c r="A894" i="7"/>
  <c r="A891" i="7"/>
  <c r="A888" i="7"/>
  <c r="A885" i="7"/>
  <c r="A880" i="7"/>
  <c r="A877" i="7"/>
  <c r="A874" i="7"/>
  <c r="A870" i="7"/>
  <c r="A867" i="7"/>
  <c r="A859" i="7"/>
  <c r="A854" i="7"/>
  <c r="A848" i="7"/>
  <c r="A847" i="7"/>
  <c r="A841" i="7"/>
  <c r="A833" i="7"/>
  <c r="A832" i="7"/>
  <c r="A825" i="7"/>
  <c r="A822" i="7"/>
  <c r="A821" i="7"/>
  <c r="A809" i="7"/>
  <c r="A810" i="7"/>
  <c r="A801" i="7"/>
  <c r="A798" i="7"/>
  <c r="A762" i="7"/>
  <c r="A726" i="7"/>
  <c r="A687" i="7"/>
  <c r="A659" i="7"/>
  <c r="A631" i="7"/>
  <c r="A592" i="7"/>
  <c r="A560" i="7"/>
  <c r="A528" i="7"/>
  <c r="A496" i="7"/>
  <c r="A495" i="7"/>
  <c r="A489" i="7"/>
  <c r="A455" i="7"/>
  <c r="A448" i="7"/>
  <c r="A411" i="7"/>
  <c r="A410" i="7"/>
  <c r="A409" i="7"/>
  <c r="A392" i="7"/>
  <c r="A363" i="7"/>
  <c r="A357" i="7"/>
  <c r="A351" i="7"/>
  <c r="A308" i="7"/>
  <c r="A307" i="7"/>
  <c r="A296" i="7"/>
  <c r="A295" i="7"/>
  <c r="A274" i="7"/>
  <c r="A261" i="7"/>
  <c r="A260" i="7"/>
  <c r="A254" i="7"/>
  <c r="A244" i="7"/>
  <c r="A243" i="7"/>
  <c r="A238" i="7"/>
  <c r="A235" i="7"/>
  <c r="A232" i="7"/>
  <c r="A231" i="7"/>
  <c r="A225" i="7"/>
  <c r="A224" i="7"/>
  <c r="A218" i="7"/>
  <c r="A208" i="7"/>
  <c r="A207" i="7"/>
  <c r="A206" i="7"/>
  <c r="A199" i="7"/>
  <c r="A198" i="7"/>
  <c r="A197" i="7"/>
  <c r="A190" i="7"/>
  <c r="A186" i="7"/>
  <c r="A182" i="7"/>
  <c r="A181" i="7"/>
  <c r="A180" i="7"/>
  <c r="A167" i="7"/>
  <c r="A159" i="7"/>
  <c r="A156" i="7"/>
  <c r="A155" i="7"/>
  <c r="A119" i="7"/>
  <c r="A112" i="7"/>
  <c r="A111" i="7"/>
  <c r="A108" i="7"/>
  <c r="A73" i="7"/>
  <c r="A68" i="7"/>
  <c r="A67" i="7"/>
  <c r="A64" i="7"/>
  <c r="A61" i="7"/>
  <c r="A58" i="7"/>
  <c r="A40" i="7"/>
  <c r="A39" i="7"/>
  <c r="A33" i="7"/>
  <c r="A24" i="7"/>
  <c r="A23" i="7"/>
  <c r="A22" i="7"/>
  <c r="A14" i="7"/>
  <c r="A18" i="7"/>
  <c r="A15" i="7"/>
  <c r="H41" i="1" l="1"/>
  <c r="H40" i="1"/>
  <c r="G64" i="7" l="1"/>
  <c r="D64" i="7"/>
  <c r="C64" i="7"/>
  <c r="B64" i="7"/>
  <c r="H66" i="7"/>
  <c r="H64" i="7" s="1"/>
  <c r="F26" i="1" s="1"/>
  <c r="H26" i="1"/>
  <c r="G61" i="7"/>
  <c r="D61" i="7"/>
  <c r="C61" i="7"/>
  <c r="B61" i="7"/>
  <c r="H63" i="7"/>
  <c r="H61" i="7" s="1"/>
  <c r="F25" i="1" s="1"/>
  <c r="H25" i="1"/>
  <c r="G58" i="7"/>
  <c r="D58" i="7"/>
  <c r="C58" i="7"/>
  <c r="B58" i="7"/>
  <c r="H60" i="7"/>
  <c r="H58" i="7" s="1"/>
  <c r="F24" i="1" s="1"/>
  <c r="H24" i="1"/>
  <c r="H19" i="7"/>
  <c r="H165" i="1"/>
  <c r="H157" i="1"/>
  <c r="H156" i="1"/>
  <c r="H155" i="1"/>
  <c r="H154" i="1"/>
  <c r="H153" i="1"/>
  <c r="H152" i="1"/>
  <c r="H151" i="1"/>
  <c r="H150" i="1"/>
  <c r="H149" i="1"/>
  <c r="H148" i="1"/>
  <c r="H145" i="1"/>
  <c r="H144" i="1"/>
  <c r="H143" i="1"/>
  <c r="H140" i="1"/>
  <c r="H139" i="1"/>
  <c r="H138" i="1"/>
  <c r="H137" i="1"/>
  <c r="H136" i="1"/>
  <c r="H135" i="1"/>
  <c r="H134" i="1"/>
  <c r="H133" i="1"/>
  <c r="H132" i="1"/>
  <c r="H131" i="1"/>
  <c r="H130" i="1"/>
  <c r="H129" i="1"/>
  <c r="H128" i="1"/>
  <c r="H127" i="1"/>
  <c r="H126" i="1"/>
  <c r="H125" i="1"/>
  <c r="H124" i="1"/>
  <c r="H123" i="1"/>
  <c r="H122" i="1"/>
  <c r="H121" i="1"/>
  <c r="H118" i="1"/>
  <c r="H117" i="1"/>
  <c r="H113" i="1"/>
  <c r="H112" i="1"/>
  <c r="H109" i="1"/>
  <c r="H105" i="1"/>
  <c r="H104" i="1"/>
  <c r="H103" i="1"/>
  <c r="H102" i="1"/>
  <c r="H101" i="1"/>
  <c r="H100" i="1"/>
  <c r="H99" i="1"/>
  <c r="H98" i="1"/>
  <c r="H97" i="1"/>
  <c r="H96" i="1"/>
  <c r="H95" i="1"/>
  <c r="H90" i="1"/>
  <c r="H89" i="1"/>
  <c r="H88" i="1"/>
  <c r="H84" i="1"/>
  <c r="H83" i="1"/>
  <c r="H82" i="1"/>
  <c r="H81" i="1"/>
  <c r="H80" i="1"/>
  <c r="H77" i="1"/>
  <c r="H73" i="1"/>
  <c r="H69" i="1"/>
  <c r="H66" i="1"/>
  <c r="H64" i="1"/>
  <c r="H62" i="1"/>
  <c r="H61" i="1"/>
  <c r="H60" i="1"/>
  <c r="H58" i="1"/>
  <c r="H56" i="1"/>
  <c r="H55" i="1"/>
  <c r="H51" i="1"/>
  <c r="H47" i="1"/>
  <c r="H46" i="1"/>
  <c r="H45" i="1"/>
  <c r="H37" i="1"/>
  <c r="H36" i="1"/>
  <c r="H35" i="1"/>
  <c r="H33" i="1"/>
  <c r="H32" i="1"/>
  <c r="H30" i="1"/>
  <c r="H29" i="1"/>
  <c r="H28" i="1"/>
  <c r="H23" i="1"/>
  <c r="H21" i="1"/>
  <c r="H20" i="1"/>
  <c r="H16" i="1"/>
  <c r="H15" i="1"/>
  <c r="I24" i="1" l="1"/>
  <c r="I25" i="1"/>
  <c r="I26" i="1"/>
  <c r="D21" i="8"/>
  <c r="D16" i="8"/>
  <c r="F57" i="3"/>
  <c r="F53" i="3"/>
  <c r="F54" i="3" s="1"/>
  <c r="F58" i="3" s="1"/>
  <c r="F42" i="3"/>
  <c r="F41" i="3"/>
  <c r="F43" i="3" s="1"/>
  <c r="E38" i="3"/>
  <c r="F38" i="3" s="1"/>
  <c r="F39" i="3" s="1"/>
  <c r="B38" i="3"/>
  <c r="F44" i="3" l="1"/>
  <c r="J45" i="2" l="1"/>
  <c r="J43" i="2"/>
  <c r="J41" i="2"/>
  <c r="J39" i="2"/>
  <c r="J37" i="2"/>
  <c r="J35" i="2"/>
  <c r="J33" i="2"/>
  <c r="J31" i="2"/>
  <c r="J29" i="2"/>
  <c r="J27" i="2"/>
  <c r="J25" i="2"/>
  <c r="J23" i="2"/>
  <c r="J21" i="2"/>
  <c r="J19" i="2"/>
  <c r="J17" i="2"/>
  <c r="J15" i="2"/>
  <c r="J13" i="2"/>
  <c r="J11" i="2"/>
  <c r="H920" i="7"/>
  <c r="H917" i="7"/>
  <c r="H887" i="7"/>
  <c r="H686" i="7"/>
  <c r="H658" i="7"/>
  <c r="H195" i="7"/>
  <c r="H72" i="7"/>
  <c r="H38" i="7"/>
  <c r="H827" i="7" l="1"/>
  <c r="H825" i="7" s="1"/>
  <c r="F113" i="1" s="1"/>
  <c r="G825" i="7"/>
  <c r="D825" i="7"/>
  <c r="C825" i="7"/>
  <c r="B825" i="7"/>
  <c r="I113" i="1" l="1"/>
  <c r="G1000" i="7" l="1"/>
  <c r="D1000" i="7"/>
  <c r="H1002" i="7"/>
  <c r="H1000" i="7" s="1"/>
  <c r="F157" i="1" s="1"/>
  <c r="G801" i="7"/>
  <c r="D801" i="7"/>
  <c r="C801" i="7"/>
  <c r="B801" i="7"/>
  <c r="G798" i="7"/>
  <c r="D798" i="7"/>
  <c r="C798" i="7"/>
  <c r="B798" i="7"/>
  <c r="H803" i="7"/>
  <c r="H801" i="7" s="1"/>
  <c r="F105" i="1" s="1"/>
  <c r="H800" i="7"/>
  <c r="H798" i="7" s="1"/>
  <c r="F104" i="1" s="1"/>
  <c r="I157" i="1" l="1"/>
  <c r="I105" i="1"/>
  <c r="I104" i="1"/>
  <c r="B923" i="7" l="1"/>
  <c r="G997" i="7" l="1"/>
  <c r="D997" i="7"/>
  <c r="B997" i="7"/>
  <c r="H999" i="7"/>
  <c r="H997" i="7" s="1"/>
  <c r="F156" i="1" s="1"/>
  <c r="G971" i="7"/>
  <c r="D971" i="7"/>
  <c r="B971" i="7"/>
  <c r="G238" i="7"/>
  <c r="D238" i="7"/>
  <c r="C238" i="7"/>
  <c r="B238" i="7"/>
  <c r="I40" i="1" l="1"/>
  <c r="H242" i="7"/>
  <c r="H238" i="7" s="1"/>
  <c r="F62" i="1" s="1"/>
  <c r="I62" i="1" s="1"/>
  <c r="H996" i="7"/>
  <c r="H725" i="7"/>
  <c r="I156" i="1"/>
  <c r="H630" i="7" l="1"/>
  <c r="H454" i="7"/>
  <c r="H237" i="7"/>
  <c r="G235" i="7"/>
  <c r="D235" i="7"/>
  <c r="C235" i="7"/>
  <c r="B235" i="7"/>
  <c r="H234" i="7"/>
  <c r="H235" i="7" l="1"/>
  <c r="F61" i="1" s="1"/>
  <c r="I61" i="1" s="1"/>
  <c r="H189" i="7"/>
  <c r="H185" i="7"/>
  <c r="I41" i="1" s="1"/>
  <c r="H118" i="7"/>
  <c r="H971" i="7"/>
  <c r="F155" i="1" s="1"/>
  <c r="I155" i="1" s="1"/>
  <c r="H970" i="7"/>
  <c r="H968" i="7" s="1"/>
  <c r="F154" i="1" s="1"/>
  <c r="I154" i="1" s="1"/>
  <c r="G968" i="7"/>
  <c r="D968" i="7"/>
  <c r="B968" i="7"/>
  <c r="H42" i="1" l="1"/>
  <c r="I39" i="1" s="1"/>
  <c r="C15" i="2" s="1"/>
  <c r="E16" i="2" s="1"/>
  <c r="H940" i="7"/>
  <c r="H963" i="7"/>
  <c r="F153" i="1" l="1"/>
  <c r="I153" i="1" s="1"/>
  <c r="G964" i="7"/>
  <c r="D964" i="7"/>
  <c r="H964" i="7"/>
  <c r="G254" i="7" l="1"/>
  <c r="D254" i="7"/>
  <c r="C254" i="7"/>
  <c r="B254" i="7"/>
  <c r="G244" i="7"/>
  <c r="D244" i="7"/>
  <c r="C244" i="7"/>
  <c r="B244" i="7"/>
  <c r="H243" i="7"/>
  <c r="I63" i="1"/>
  <c r="H244" i="7" l="1"/>
  <c r="F64" i="1" s="1"/>
  <c r="I64" i="1" s="1"/>
  <c r="H254" i="7"/>
  <c r="F66" i="1" s="1"/>
  <c r="I66" i="1" s="1"/>
  <c r="H223" i="7"/>
  <c r="G274" i="7" l="1"/>
  <c r="D274" i="7"/>
  <c r="C274" i="7"/>
  <c r="B274" i="7"/>
  <c r="H276" i="7"/>
  <c r="H274" i="7" s="1"/>
  <c r="F73" i="1" s="1"/>
  <c r="I73" i="1" s="1"/>
  <c r="H908" i="7" l="1"/>
  <c r="H906" i="7" s="1"/>
  <c r="F136" i="1" s="1"/>
  <c r="I136" i="1" s="1"/>
  <c r="H918" i="7"/>
  <c r="F140" i="1" s="1"/>
  <c r="I140" i="1" s="1"/>
  <c r="H915" i="7"/>
  <c r="F139" i="1" s="1"/>
  <c r="I139" i="1" s="1"/>
  <c r="H866" i="7"/>
  <c r="G918" i="7"/>
  <c r="D918" i="7"/>
  <c r="C918" i="7"/>
  <c r="B918" i="7"/>
  <c r="G915" i="7"/>
  <c r="D915" i="7"/>
  <c r="C915" i="7"/>
  <c r="B915" i="7"/>
  <c r="G912" i="7"/>
  <c r="D912" i="7"/>
  <c r="C912" i="7"/>
  <c r="B912" i="7"/>
  <c r="G909" i="7"/>
  <c r="D909" i="7"/>
  <c r="C909" i="7"/>
  <c r="B909" i="7"/>
  <c r="G906" i="7"/>
  <c r="D906" i="7"/>
  <c r="C906" i="7"/>
  <c r="B906" i="7"/>
  <c r="G903" i="7"/>
  <c r="D903" i="7"/>
  <c r="C903" i="7"/>
  <c r="B903" i="7"/>
  <c r="G900" i="7"/>
  <c r="D900" i="7"/>
  <c r="C900" i="7"/>
  <c r="B900" i="7"/>
  <c r="G897" i="7"/>
  <c r="D897" i="7"/>
  <c r="C897" i="7"/>
  <c r="B897" i="7"/>
  <c r="H914" i="7"/>
  <c r="H912" i="7" s="1"/>
  <c r="F138" i="1" s="1"/>
  <c r="I138" i="1" s="1"/>
  <c r="H911" i="7"/>
  <c r="H909" i="7" s="1"/>
  <c r="F137" i="1" s="1"/>
  <c r="I137" i="1" s="1"/>
  <c r="H905" i="7"/>
  <c r="H903" i="7" s="1"/>
  <c r="F135" i="1" s="1"/>
  <c r="I135" i="1" s="1"/>
  <c r="H902" i="7"/>
  <c r="H900" i="7" s="1"/>
  <c r="F134" i="1" s="1"/>
  <c r="I134" i="1" s="1"/>
  <c r="H899" i="7"/>
  <c r="H897" i="7" s="1"/>
  <c r="F133" i="1" s="1"/>
  <c r="I133" i="1" s="1"/>
  <c r="G894" i="7"/>
  <c r="D894" i="7"/>
  <c r="C894" i="7"/>
  <c r="B894" i="7"/>
  <c r="G891" i="7"/>
  <c r="D891" i="7"/>
  <c r="C891" i="7"/>
  <c r="B891" i="7"/>
  <c r="G888" i="7"/>
  <c r="D888" i="7"/>
  <c r="C888" i="7"/>
  <c r="B888" i="7"/>
  <c r="G885" i="7"/>
  <c r="D885" i="7"/>
  <c r="C885" i="7"/>
  <c r="B885" i="7"/>
  <c r="G880" i="7"/>
  <c r="D880" i="7"/>
  <c r="C880" i="7"/>
  <c r="B880" i="7"/>
  <c r="G877" i="7"/>
  <c r="D877" i="7"/>
  <c r="C877" i="7"/>
  <c r="B877" i="7"/>
  <c r="G874" i="7"/>
  <c r="D874" i="7"/>
  <c r="C874" i="7"/>
  <c r="B874" i="7"/>
  <c r="G870" i="7"/>
  <c r="D870" i="7"/>
  <c r="C870" i="7"/>
  <c r="B870" i="7"/>
  <c r="G867" i="7"/>
  <c r="D867" i="7"/>
  <c r="C867" i="7"/>
  <c r="B867" i="7"/>
  <c r="G859" i="7"/>
  <c r="D859" i="7"/>
  <c r="C859" i="7"/>
  <c r="B859" i="7"/>
  <c r="G854" i="7"/>
  <c r="D854" i="7"/>
  <c r="C854" i="7"/>
  <c r="B854" i="7"/>
  <c r="G848" i="7"/>
  <c r="D848" i="7"/>
  <c r="C848" i="7"/>
  <c r="B848" i="7"/>
  <c r="H896" i="7"/>
  <c r="H894" i="7" s="1"/>
  <c r="F132" i="1" s="1"/>
  <c r="I132" i="1" s="1"/>
  <c r="H893" i="7"/>
  <c r="H891" i="7" s="1"/>
  <c r="F131" i="1" s="1"/>
  <c r="I131" i="1" s="1"/>
  <c r="H890" i="7"/>
  <c r="H888" i="7" s="1"/>
  <c r="F130" i="1" s="1"/>
  <c r="I130" i="1" s="1"/>
  <c r="G960" i="7"/>
  <c r="D960" i="7"/>
  <c r="H960" i="7"/>
  <c r="F152" i="1" s="1"/>
  <c r="I152" i="1" s="1"/>
  <c r="H950" i="7" l="1"/>
  <c r="H854" i="7"/>
  <c r="F122" i="1" s="1"/>
  <c r="I122" i="1" s="1"/>
  <c r="H488" i="7" l="1"/>
  <c r="H797" i="7"/>
  <c r="H170" i="7"/>
  <c r="H158" i="7"/>
  <c r="G261" i="7" l="1"/>
  <c r="D261" i="7"/>
  <c r="C261" i="7"/>
  <c r="B261" i="7"/>
  <c r="H261" i="7" l="1"/>
  <c r="F69" i="1" s="1"/>
  <c r="I69" i="1" s="1"/>
  <c r="I71" i="1"/>
  <c r="G955" i="7"/>
  <c r="D955" i="7"/>
  <c r="H75" i="1" l="1"/>
  <c r="H959" i="7"/>
  <c r="H955" i="7" s="1"/>
  <c r="F151" i="1" s="1"/>
  <c r="I151" i="1" s="1"/>
  <c r="G167" i="7"/>
  <c r="D167" i="7"/>
  <c r="C167" i="7"/>
  <c r="B167" i="7"/>
  <c r="H167" i="7" l="1"/>
  <c r="F37" i="1" s="1"/>
  <c r="I37" i="1" s="1"/>
  <c r="G308" i="7"/>
  <c r="D308" i="7"/>
  <c r="C308" i="7"/>
  <c r="B308" i="7"/>
  <c r="H308" i="7" l="1"/>
  <c r="F80" i="1" s="1"/>
  <c r="I80" i="1" s="1"/>
  <c r="H356" i="7" l="1"/>
  <c r="H362" i="7"/>
  <c r="I7" i="2" l="1"/>
  <c r="H110" i="7" l="1"/>
  <c r="H884" i="7" l="1"/>
  <c r="H880" i="7" s="1"/>
  <c r="F128" i="1" s="1"/>
  <c r="I128" i="1" s="1"/>
  <c r="H876" i="7"/>
  <c r="H874" i="7" s="1"/>
  <c r="F126" i="1" s="1"/>
  <c r="I126" i="1" s="1"/>
  <c r="H879" i="7"/>
  <c r="H877" i="7" s="1"/>
  <c r="F127" i="1" l="1"/>
  <c r="I127" i="1" s="1"/>
  <c r="G762" i="7"/>
  <c r="D762" i="7"/>
  <c r="C762" i="7"/>
  <c r="B762" i="7"/>
  <c r="G363" i="7"/>
  <c r="D363" i="7"/>
  <c r="C363" i="7"/>
  <c r="B363" i="7"/>
  <c r="H363" i="7"/>
  <c r="F83" i="1" s="1"/>
  <c r="I83" i="1" s="1"/>
  <c r="B392" i="7" l="1"/>
  <c r="G448" i="7" l="1"/>
  <c r="D448" i="7"/>
  <c r="C448" i="7"/>
  <c r="B448" i="7"/>
  <c r="H448" i="7" l="1"/>
  <c r="F89" i="1" s="1"/>
  <c r="I89" i="1" s="1"/>
  <c r="A7" i="3" l="1"/>
  <c r="B119" i="7" l="1"/>
  <c r="C119" i="7"/>
  <c r="D119" i="7"/>
  <c r="G119" i="7"/>
  <c r="G112" i="7"/>
  <c r="D112" i="7"/>
  <c r="C112" i="7"/>
  <c r="B112" i="7"/>
  <c r="G232" i="7"/>
  <c r="D232" i="7"/>
  <c r="C232" i="7"/>
  <c r="B232" i="7"/>
  <c r="G40" i="7"/>
  <c r="D40" i="7"/>
  <c r="C40" i="7"/>
  <c r="B40" i="7"/>
  <c r="G726" i="7"/>
  <c r="D726" i="7"/>
  <c r="C726" i="7"/>
  <c r="B726" i="7"/>
  <c r="H20" i="7"/>
  <c r="H112" i="7" l="1"/>
  <c r="F32" i="1" s="1"/>
  <c r="I32" i="1" s="1"/>
  <c r="H40" i="7"/>
  <c r="F23" i="1" s="1"/>
  <c r="I23" i="1" s="1"/>
  <c r="I8" i="2"/>
  <c r="H726" i="7" l="1"/>
  <c r="H951" i="7"/>
  <c r="F150" i="1" s="1"/>
  <c r="I150" i="1" s="1"/>
  <c r="H941" i="7"/>
  <c r="F149" i="1" s="1"/>
  <c r="I149" i="1" s="1"/>
  <c r="G951" i="7"/>
  <c r="D951" i="7"/>
  <c r="C951" i="7"/>
  <c r="G941" i="7"/>
  <c r="D941" i="7"/>
  <c r="C941" i="7"/>
  <c r="B941" i="7"/>
  <c r="B951" i="7"/>
  <c r="H934" i="7"/>
  <c r="F148" i="1" s="1"/>
  <c r="I148" i="1" s="1"/>
  <c r="G934" i="7"/>
  <c r="D934" i="7"/>
  <c r="C934" i="7"/>
  <c r="B934" i="7"/>
  <c r="H1022" i="7"/>
  <c r="H1020" i="7" s="1"/>
  <c r="F165" i="1" s="1"/>
  <c r="G1020" i="7"/>
  <c r="D1020" i="7"/>
  <c r="C1020" i="7"/>
  <c r="B1020" i="7"/>
  <c r="G929" i="7"/>
  <c r="D929" i="7"/>
  <c r="C929" i="7"/>
  <c r="B929" i="7"/>
  <c r="H931" i="7"/>
  <c r="H929" i="7" s="1"/>
  <c r="G926" i="7"/>
  <c r="D926" i="7"/>
  <c r="C926" i="7"/>
  <c r="B926" i="7"/>
  <c r="H928" i="7"/>
  <c r="H926" i="7" s="1"/>
  <c r="G923" i="7"/>
  <c r="D923" i="7"/>
  <c r="C923" i="7"/>
  <c r="H923" i="7"/>
  <c r="H873" i="7"/>
  <c r="H870" i="7" s="1"/>
  <c r="F125" i="1" s="1"/>
  <c r="I125" i="1" s="1"/>
  <c r="H869" i="7"/>
  <c r="H867" i="7" s="1"/>
  <c r="F124" i="1" s="1"/>
  <c r="I124" i="1" s="1"/>
  <c r="H885" i="7"/>
  <c r="F129" i="1" s="1"/>
  <c r="I129" i="1" s="1"/>
  <c r="H859" i="7"/>
  <c r="F123" i="1" s="1"/>
  <c r="I123" i="1" s="1"/>
  <c r="H848" i="7"/>
  <c r="F121" i="1" s="1"/>
  <c r="I121" i="1" s="1"/>
  <c r="H841" i="7"/>
  <c r="F118" i="1" s="1"/>
  <c r="G841" i="7"/>
  <c r="D841" i="7"/>
  <c r="C841" i="7"/>
  <c r="B841" i="7"/>
  <c r="G833" i="7"/>
  <c r="D833" i="7"/>
  <c r="C833" i="7"/>
  <c r="B833" i="7"/>
  <c r="H833" i="7"/>
  <c r="F117" i="1" s="1"/>
  <c r="G822" i="7"/>
  <c r="D822" i="7"/>
  <c r="C822" i="7"/>
  <c r="B822" i="7"/>
  <c r="H824" i="7"/>
  <c r="H822" i="7" s="1"/>
  <c r="F112" i="1" s="1"/>
  <c r="G810" i="7"/>
  <c r="D810" i="7"/>
  <c r="C810" i="7"/>
  <c r="B810" i="7"/>
  <c r="H810" i="7"/>
  <c r="F109" i="1" s="1"/>
  <c r="G659" i="7"/>
  <c r="D659" i="7"/>
  <c r="C659" i="7"/>
  <c r="B659" i="7"/>
  <c r="G631" i="7"/>
  <c r="D631" i="7"/>
  <c r="C631" i="7"/>
  <c r="B631" i="7"/>
  <c r="G687" i="7"/>
  <c r="D687" i="7"/>
  <c r="C687" i="7"/>
  <c r="B687" i="7"/>
  <c r="G592" i="7"/>
  <c r="D592" i="7"/>
  <c r="C592" i="7"/>
  <c r="B592" i="7"/>
  <c r="G560" i="7"/>
  <c r="D560" i="7"/>
  <c r="C560" i="7"/>
  <c r="B560" i="7"/>
  <c r="G528" i="7"/>
  <c r="D528" i="7"/>
  <c r="C528" i="7"/>
  <c r="B528" i="7"/>
  <c r="G496" i="7"/>
  <c r="D496" i="7"/>
  <c r="C496" i="7"/>
  <c r="B496" i="7"/>
  <c r="H163" i="1" l="1"/>
  <c r="F145" i="1"/>
  <c r="I145" i="1" s="1"/>
  <c r="F144" i="1"/>
  <c r="I144" i="1" s="1"/>
  <c r="F143" i="1"/>
  <c r="I143" i="1" s="1"/>
  <c r="H141" i="1"/>
  <c r="F102" i="1"/>
  <c r="I102" i="1" s="1"/>
  <c r="H762" i="7"/>
  <c r="F103" i="1" s="1"/>
  <c r="I103" i="1" s="1"/>
  <c r="H659" i="7"/>
  <c r="F100" i="1" s="1"/>
  <c r="I100" i="1" s="1"/>
  <c r="H631" i="7"/>
  <c r="F99" i="1" s="1"/>
  <c r="I99" i="1" s="1"/>
  <c r="H687" i="7"/>
  <c r="F101" i="1" s="1"/>
  <c r="I101" i="1" s="1"/>
  <c r="H592" i="7"/>
  <c r="F98" i="1" s="1"/>
  <c r="I98" i="1" s="1"/>
  <c r="H560" i="7"/>
  <c r="F97" i="1" s="1"/>
  <c r="I97" i="1" s="1"/>
  <c r="H528" i="7"/>
  <c r="F96" i="1" s="1"/>
  <c r="I96" i="1" s="1"/>
  <c r="H496" i="7"/>
  <c r="F95" i="1" s="1"/>
  <c r="I95" i="1" s="1"/>
  <c r="G455" i="7"/>
  <c r="D455" i="7"/>
  <c r="C455" i="7"/>
  <c r="B455" i="7"/>
  <c r="G411" i="7"/>
  <c r="D411" i="7"/>
  <c r="C411" i="7"/>
  <c r="B411" i="7"/>
  <c r="G392" i="7"/>
  <c r="D392" i="7"/>
  <c r="C392" i="7"/>
  <c r="G357" i="7"/>
  <c r="D357" i="7"/>
  <c r="C357" i="7"/>
  <c r="B357" i="7"/>
  <c r="G351" i="7"/>
  <c r="D351" i="7"/>
  <c r="C351" i="7"/>
  <c r="B351" i="7"/>
  <c r="G296" i="7"/>
  <c r="D296" i="7"/>
  <c r="C296" i="7"/>
  <c r="B296" i="7"/>
  <c r="H232" i="7"/>
  <c r="F60" i="1" s="1"/>
  <c r="I60" i="1" s="1"/>
  <c r="H225" i="7"/>
  <c r="F58" i="1" s="1"/>
  <c r="I58" i="1" s="1"/>
  <c r="G225" i="7"/>
  <c r="D225" i="7"/>
  <c r="C225" i="7"/>
  <c r="B225" i="7"/>
  <c r="G218" i="7"/>
  <c r="D218" i="7"/>
  <c r="C218" i="7"/>
  <c r="B218" i="7"/>
  <c r="H218" i="7"/>
  <c r="H208" i="7"/>
  <c r="F55" i="1" s="1"/>
  <c r="I55" i="1" s="1"/>
  <c r="G208" i="7"/>
  <c r="D208" i="7"/>
  <c r="C208" i="7"/>
  <c r="B208" i="7"/>
  <c r="G199" i="7"/>
  <c r="D199" i="7"/>
  <c r="C199" i="7"/>
  <c r="B199" i="7"/>
  <c r="H190" i="7"/>
  <c r="F47" i="1" s="1"/>
  <c r="I47" i="1" s="1"/>
  <c r="G190" i="7"/>
  <c r="D190" i="7"/>
  <c r="C190" i="7"/>
  <c r="B190" i="7"/>
  <c r="G186" i="7"/>
  <c r="D186" i="7"/>
  <c r="C186" i="7"/>
  <c r="B186" i="7"/>
  <c r="H186" i="7"/>
  <c r="F46" i="1" s="1"/>
  <c r="I46" i="1" s="1"/>
  <c r="G182" i="7"/>
  <c r="D182" i="7"/>
  <c r="C182" i="7"/>
  <c r="B182" i="7"/>
  <c r="H182" i="7"/>
  <c r="F45" i="1" s="1"/>
  <c r="I45" i="1" s="1"/>
  <c r="H107" i="1" l="1"/>
  <c r="H48" i="1"/>
  <c r="H146" i="1"/>
  <c r="F56" i="1"/>
  <c r="I56" i="1" s="1"/>
  <c r="H199" i="7"/>
  <c r="F51" i="1" s="1"/>
  <c r="I51" i="1" s="1"/>
  <c r="H296" i="7"/>
  <c r="F77" i="1" s="1"/>
  <c r="I77" i="1" s="1"/>
  <c r="H455" i="7"/>
  <c r="F90" i="1" s="1"/>
  <c r="I90" i="1" s="1"/>
  <c r="H392" i="7"/>
  <c r="F84" i="1" s="1"/>
  <c r="I84" i="1" s="1"/>
  <c r="H411" i="7"/>
  <c r="F88" i="1" s="1"/>
  <c r="I88" i="1" s="1"/>
  <c r="H351" i="7"/>
  <c r="F81" i="1" s="1"/>
  <c r="I81" i="1" s="1"/>
  <c r="H357" i="7"/>
  <c r="F82" i="1" s="1"/>
  <c r="I82" i="1" s="1"/>
  <c r="H93" i="1" l="1"/>
  <c r="H52" i="1"/>
  <c r="H67" i="1"/>
  <c r="H159" i="7"/>
  <c r="F36" i="1" s="1"/>
  <c r="I36" i="1" s="1"/>
  <c r="G159" i="7"/>
  <c r="D159" i="7"/>
  <c r="C159" i="7"/>
  <c r="B159" i="7"/>
  <c r="H156" i="7"/>
  <c r="F35" i="1" s="1"/>
  <c r="I35" i="1" s="1"/>
  <c r="G156" i="7"/>
  <c r="D156" i="7"/>
  <c r="C156" i="7"/>
  <c r="B156" i="7"/>
  <c r="G108" i="7" l="1"/>
  <c r="D108" i="7"/>
  <c r="C108" i="7"/>
  <c r="B108" i="7"/>
  <c r="H108" i="7"/>
  <c r="F30" i="1" s="1"/>
  <c r="I30" i="1" s="1"/>
  <c r="G73" i="7"/>
  <c r="D73" i="7"/>
  <c r="C73" i="7"/>
  <c r="B73" i="7"/>
  <c r="G68" i="7"/>
  <c r="D68" i="7"/>
  <c r="C68" i="7"/>
  <c r="B68" i="7"/>
  <c r="H10" i="7"/>
  <c r="H9" i="7"/>
  <c r="A10" i="7"/>
  <c r="A9" i="7"/>
  <c r="A8" i="7"/>
  <c r="H24" i="7" l="1"/>
  <c r="F20" i="1" s="1"/>
  <c r="I20" i="1" s="1"/>
  <c r="H68" i="7"/>
  <c r="F28" i="1" s="1"/>
  <c r="I28" i="1" s="1"/>
  <c r="H119" i="7"/>
  <c r="F33" i="1" s="1"/>
  <c r="I33" i="1" s="1"/>
  <c r="H73" i="7"/>
  <c r="F29" i="1" s="1"/>
  <c r="I29" i="1" s="1"/>
  <c r="G24" i="7"/>
  <c r="G18" i="7"/>
  <c r="G33" i="7"/>
  <c r="D33" i="7"/>
  <c r="C33" i="7"/>
  <c r="B33" i="7"/>
  <c r="H33" i="7"/>
  <c r="F21" i="1" s="1"/>
  <c r="I21" i="1" s="1"/>
  <c r="D24" i="7"/>
  <c r="C24" i="7"/>
  <c r="B24" i="7"/>
  <c r="D18" i="7"/>
  <c r="C18" i="7"/>
  <c r="B18" i="7"/>
  <c r="H18" i="7"/>
  <c r="F16" i="1" s="1"/>
  <c r="I16" i="1" s="1"/>
  <c r="H17" i="7"/>
  <c r="F15" i="1" s="1"/>
  <c r="I15" i="1" s="1"/>
  <c r="B15" i="7"/>
  <c r="G15" i="7"/>
  <c r="D15" i="7"/>
  <c r="C15" i="7"/>
  <c r="H231" i="7"/>
  <c r="H224" i="7"/>
  <c r="I165" i="1"/>
  <c r="H166" i="1" s="1"/>
  <c r="I118" i="1"/>
  <c r="H38" i="1" l="1"/>
  <c r="H15" i="7"/>
  <c r="G171" i="7"/>
  <c r="I59" i="1" l="1"/>
  <c r="I57" i="1"/>
  <c r="I112" i="1" l="1"/>
  <c r="H115" i="1" s="1"/>
  <c r="I109" i="1"/>
  <c r="H110" i="1" s="1"/>
  <c r="H78" i="1"/>
  <c r="I117" i="1"/>
  <c r="H119" i="1" s="1"/>
  <c r="I147" i="1" l="1"/>
  <c r="C43" i="2" s="1"/>
  <c r="F44" i="2" s="1"/>
  <c r="H17" i="1"/>
  <c r="I18" i="1"/>
  <c r="C13" i="2" s="1"/>
  <c r="H85" i="1"/>
  <c r="F14" i="2" l="1"/>
  <c r="I142" i="1"/>
  <c r="C41" i="2" s="1"/>
  <c r="A8" i="2"/>
  <c r="A7" i="2"/>
  <c r="A6" i="2"/>
  <c r="H44" i="2" l="1"/>
  <c r="E14" i="2"/>
  <c r="F13" i="3"/>
  <c r="G44" i="2" l="1"/>
  <c r="I44" i="2"/>
  <c r="I86" i="1"/>
  <c r="C29" i="2" s="1"/>
  <c r="I14" i="1"/>
  <c r="C11" i="2" s="1"/>
  <c r="I49" i="1"/>
  <c r="I116" i="1"/>
  <c r="C37" i="2" s="1"/>
  <c r="I111" i="1"/>
  <c r="C35" i="2" s="1"/>
  <c r="F14" i="3"/>
  <c r="F15" i="3" s="1"/>
  <c r="C19" i="2" l="1"/>
  <c r="E12" i="2" l="1"/>
  <c r="I43" i="1"/>
  <c r="C17" i="2" s="1"/>
  <c r="F18" i="2" s="1"/>
  <c r="I76" i="1"/>
  <c r="C25" i="2" s="1"/>
  <c r="I108" i="1"/>
  <c r="C33" i="2" s="1"/>
  <c r="I164" i="1"/>
  <c r="C45" i="2" l="1"/>
  <c r="I46" i="2" s="1"/>
  <c r="G34" i="2"/>
  <c r="H34" i="2"/>
  <c r="F16" i="2"/>
  <c r="H36" i="2"/>
  <c r="G36" i="2"/>
  <c r="I94" i="1"/>
  <c r="I30" i="2" l="1"/>
  <c r="C31" i="2"/>
  <c r="I34" i="2"/>
  <c r="I53" i="1"/>
  <c r="C21" i="2" s="1"/>
  <c r="I68" i="1"/>
  <c r="C23" i="2" s="1"/>
  <c r="F24" i="2" l="1"/>
  <c r="E24" i="2"/>
  <c r="H24" i="2"/>
  <c r="G32" i="2"/>
  <c r="I32" i="2"/>
  <c r="H32" i="2"/>
  <c r="E22" i="2"/>
  <c r="G22" i="2"/>
  <c r="F22" i="2"/>
  <c r="E20" i="2" l="1"/>
  <c r="G20" i="2"/>
  <c r="F20" i="2"/>
  <c r="G24" i="2"/>
  <c r="I79" i="1"/>
  <c r="C27" i="2" s="1"/>
  <c r="E28" i="2" s="1"/>
  <c r="I120" i="1"/>
  <c r="C39" i="2" s="1"/>
  <c r="H40" i="2" l="1"/>
  <c r="I40" i="2"/>
  <c r="G40" i="2"/>
  <c r="F28" i="2"/>
  <c r="G28" i="2"/>
  <c r="H28" i="2"/>
  <c r="H168" i="1"/>
  <c r="I8" i="1" s="1"/>
  <c r="E49" i="2"/>
  <c r="G26" i="2"/>
  <c r="I38" i="2"/>
  <c r="H38" i="2"/>
  <c r="G38" i="2"/>
  <c r="I42" i="2"/>
  <c r="H42" i="2"/>
  <c r="C48" i="2" l="1"/>
  <c r="E48" i="2" s="1"/>
  <c r="F26" i="2"/>
  <c r="I49" i="2"/>
  <c r="H30" i="2"/>
  <c r="G30" i="2"/>
  <c r="G49" i="2" s="1"/>
  <c r="F30" i="2"/>
  <c r="E51" i="2"/>
  <c r="H49" i="2" l="1"/>
  <c r="H48" i="2" s="1"/>
  <c r="F49" i="2"/>
  <c r="F51" i="2" s="1"/>
  <c r="G51" i="2" s="1"/>
  <c r="E50" i="2"/>
  <c r="I48" i="2"/>
  <c r="D21" i="2"/>
  <c r="G48" i="2"/>
  <c r="D17" i="2"/>
  <c r="D15" i="2"/>
  <c r="D43" i="2"/>
  <c r="D31" i="2"/>
  <c r="D45" i="2"/>
  <c r="D27" i="2"/>
  <c r="D19" i="2"/>
  <c r="D35" i="2"/>
  <c r="D37" i="2"/>
  <c r="D29" i="2"/>
  <c r="D39" i="2"/>
  <c r="D33" i="2"/>
  <c r="D41" i="2"/>
  <c r="D11" i="2"/>
  <c r="D23" i="2"/>
  <c r="D25" i="2"/>
  <c r="D13" i="2"/>
  <c r="F48" i="2" l="1"/>
  <c r="D48" i="2"/>
  <c r="F50" i="2"/>
  <c r="H51" i="2"/>
  <c r="H50" i="2" s="1"/>
  <c r="G50" i="2"/>
  <c r="I51" i="2" l="1"/>
  <c r="I50" i="2" s="1"/>
</calcChain>
</file>

<file path=xl/sharedStrings.xml><?xml version="1.0" encoding="utf-8"?>
<sst xmlns="http://schemas.openxmlformats.org/spreadsheetml/2006/main" count="2414" uniqueCount="795">
  <si>
    <t>BDI:</t>
  </si>
  <si>
    <t>UN</t>
  </si>
  <si>
    <t>ITEM</t>
  </si>
  <si>
    <t>CÓDIGO</t>
  </si>
  <si>
    <t>FONTE</t>
  </si>
  <si>
    <t>DESCRIÇÃO DOS SERVIÇOS</t>
  </si>
  <si>
    <t>PR. UNIT.(R$) SEM BDI</t>
  </si>
  <si>
    <t>PR. UNIT.(R$) COM BDI</t>
  </si>
  <si>
    <t>VALOR (R$)</t>
  </si>
  <si>
    <t xml:space="preserve">SERVIÇOS PRELIMINARES </t>
  </si>
  <si>
    <t>1.1</t>
  </si>
  <si>
    <t>IIO-PLA-005</t>
  </si>
  <si>
    <t>SETOP</t>
  </si>
  <si>
    <t>SEINFRA</t>
  </si>
  <si>
    <t>SINAPI</t>
  </si>
  <si>
    <t>m²</t>
  </si>
  <si>
    <t>2.1</t>
  </si>
  <si>
    <t>3.1</t>
  </si>
  <si>
    <t xml:space="preserve">SUPERESTRUTURA </t>
  </si>
  <si>
    <t>CONCRETO ARMADO PARA VERGAS</t>
  </si>
  <si>
    <t>5.1</t>
  </si>
  <si>
    <t>ALVENARIA DE VEDAÇÃO</t>
  </si>
  <si>
    <t>5.1.1</t>
  </si>
  <si>
    <t xml:space="preserve">ESQUADRIAS </t>
  </si>
  <si>
    <t>6.1</t>
  </si>
  <si>
    <t>PORTAS DE MADEIRA</t>
  </si>
  <si>
    <t>ORSE</t>
  </si>
  <si>
    <t>VIDROS</t>
  </si>
  <si>
    <t>ESQUADRIAS METÁLICAS</t>
  </si>
  <si>
    <t xml:space="preserve">SISTEMAS DE COBERTURA </t>
  </si>
  <si>
    <t>7.1</t>
  </si>
  <si>
    <t xml:space="preserve">IMPERMEABILIZAÇÃO </t>
  </si>
  <si>
    <t>8.1</t>
  </si>
  <si>
    <t>IMP-PIN-005</t>
  </si>
  <si>
    <t>9.1</t>
  </si>
  <si>
    <t>10.1</t>
  </si>
  <si>
    <t>PAVIMENTAÇÃO INTERNA</t>
  </si>
  <si>
    <t>PIS-CER-010</t>
  </si>
  <si>
    <t>SOL-GRA-005</t>
  </si>
  <si>
    <t>10.2</t>
  </si>
  <si>
    <t>PAVIMENTAÇÃO EXTERNA</t>
  </si>
  <si>
    <t xml:space="preserve">PINTURA </t>
  </si>
  <si>
    <t xml:space="preserve">74065/002 </t>
  </si>
  <si>
    <t>PIN-ESM-005</t>
  </si>
  <si>
    <t xml:space="preserve">INSTALAÇÃO HIDRÁULICA </t>
  </si>
  <si>
    <t>12.1</t>
  </si>
  <si>
    <t>DRENAGEM DE ÁGUAS PLUVIAIS</t>
  </si>
  <si>
    <t>13.1</t>
  </si>
  <si>
    <t xml:space="preserve">INSTALAÇÃO SANITÁRIA </t>
  </si>
  <si>
    <t>14.1</t>
  </si>
  <si>
    <t xml:space="preserve">LOUÇAS E METAIS </t>
  </si>
  <si>
    <t>15.1</t>
  </si>
  <si>
    <t>LOU-VAS-015</t>
  </si>
  <si>
    <t>ACE-ASS-005</t>
  </si>
  <si>
    <t>C4825</t>
  </si>
  <si>
    <t>16.1</t>
  </si>
  <si>
    <t>16.2</t>
  </si>
  <si>
    <t>16.3</t>
  </si>
  <si>
    <t>ALV-TIJ-030</t>
  </si>
  <si>
    <t>17.1</t>
  </si>
  <si>
    <t xml:space="preserve">INSTALAÇÕES ELÉTRICAS </t>
  </si>
  <si>
    <t>SERVIÇOS COMPLEMENTARES</t>
  </si>
  <si>
    <t>PEI-GRA-005</t>
  </si>
  <si>
    <t>PRA-GRA-010</t>
  </si>
  <si>
    <t>SERVIÇOS FINAIS</t>
  </si>
  <si>
    <t>Custo TOTAL com BDI incluso</t>
  </si>
  <si>
    <t xml:space="preserve">      1 - Este orçamento do projeto executivo está  em conformidade com o disposto na Resolução do CONFEA nº 361 de 10 de dezembro de 1991, alínea f. </t>
  </si>
  <si>
    <t xml:space="preserve">      2 - Após a elaboração da nova planilha orçamentária, baseada no projeto executivo, a ART correspondente deverá ser emitida.</t>
  </si>
  <si>
    <t>MESES</t>
  </si>
  <si>
    <t>% ITEM</t>
  </si>
  <si>
    <t>VALORES TOTAIS</t>
  </si>
  <si>
    <t>VALORES ACUMULATIVOS POR PERIODO</t>
  </si>
  <si>
    <t>Código</t>
  </si>
  <si>
    <t>Descrição</t>
  </si>
  <si>
    <t>Unidade</t>
  </si>
  <si>
    <t>Coeficiente</t>
  </si>
  <si>
    <t>Preço</t>
  </si>
  <si>
    <t>Total</t>
  </si>
  <si>
    <t>Materiais</t>
  </si>
  <si>
    <t>Total de Materiais</t>
  </si>
  <si>
    <t>Total Geral</t>
  </si>
  <si>
    <t>COMP. 01</t>
  </si>
  <si>
    <r>
      <rPr>
        <b/>
        <sz val="10"/>
        <color rgb="FF000000"/>
        <rFont val="Arial"/>
        <family val="2"/>
      </rPr>
      <t>Unidade:</t>
    </r>
    <r>
      <rPr>
        <sz val="10"/>
        <color rgb="FF000000"/>
        <rFont val="Arial"/>
        <family val="2"/>
      </rPr>
      <t xml:space="preserve"> un</t>
    </r>
  </si>
  <si>
    <t>REVESTIMENTOS DE PISOS INTERNOS E EXTERNOS</t>
  </si>
  <si>
    <t>11.1</t>
  </si>
  <si>
    <t>11.2</t>
  </si>
  <si>
    <t>Subtotal item 1</t>
  </si>
  <si>
    <t xml:space="preserve">PLANEJAMENTO - CRONOGRAMA FÍSICO FINANCEIRO </t>
  </si>
  <si>
    <t>COMPOSIÇÃO DE CUSTOS UNITÁRIOS</t>
  </si>
  <si>
    <t>DATA:</t>
  </si>
  <si>
    <t>ESQ-POR-036</t>
  </si>
  <si>
    <t xml:space="preserve">SISTEMA DE VEDAÇÃO VERTICAL INTERNO E EXTERNO </t>
  </si>
  <si>
    <t>PLANILHA ORÇAMENTÁRIA DE CUSTOS</t>
  </si>
  <si>
    <t>DEMOLIÇÕES E REMOÇÕES</t>
  </si>
  <si>
    <t>2.3</t>
  </si>
  <si>
    <t>2.4</t>
  </si>
  <si>
    <t>2.5</t>
  </si>
  <si>
    <t>DEM-ALV-005</t>
  </si>
  <si>
    <t>DEM-PIS-010</t>
  </si>
  <si>
    <t>DEM-REV-010</t>
  </si>
  <si>
    <t>DEM-POR-005</t>
  </si>
  <si>
    <t>DEM-BAN-005</t>
  </si>
  <si>
    <t>1.2</t>
  </si>
  <si>
    <t>4.1.1</t>
  </si>
  <si>
    <t>4.1.2</t>
  </si>
  <si>
    <t>4.1.3</t>
  </si>
  <si>
    <t>4.1</t>
  </si>
  <si>
    <t>m³</t>
  </si>
  <si>
    <t>PIN-LIX-005</t>
  </si>
  <si>
    <t>PIN-LIX-015</t>
  </si>
  <si>
    <t>18.1</t>
  </si>
  <si>
    <t>m</t>
  </si>
  <si>
    <t>Fornecimento e colocação de placa de obra em chapa galvanizada (3,00 x 1,5 0 m) - em chapa galvanizada 0,26 afixadas com rebites 540 e parafusos 3/8, em estrutura metálica viga u 2" enrijecida com metalon 20 x 20, suporte em eucalipto autoclavado pintadas.</t>
  </si>
  <si>
    <t>Demolição de alvenaria de tijolo e bloco sem aproveitamento do material, inclusive afastamento</t>
  </si>
  <si>
    <t>Demolição de piso cerâmico ou ladrilho hidráulico, inclusive afastamento</t>
  </si>
  <si>
    <t>Demolição de revestimento cerâmico, azulejo ou ladrilho hidráulico inclusive afastamento</t>
  </si>
  <si>
    <t>Remoção de porta ou janela inclusive marco e alisar, inclusive afastamento e empilhamento</t>
  </si>
  <si>
    <t>Remoção de bancada de pedra (mármore, granito, ardósia, marmorite, etc.)</t>
  </si>
  <si>
    <t>un.</t>
  </si>
  <si>
    <t>Alvenaria de vedação com tijolo cerâmico furado, esp. 14cm, para revestimento, inclusive argamassa para assentamento</t>
  </si>
  <si>
    <t>Espelho cristal, espessura 4mm, com parafusos de fixacao, sem moldura</t>
  </si>
  <si>
    <t>Piso cerâmico pei-5 - 60 x 60 cm  antiderrapante (preço médio), assentado com argamassa pré-fabricada, inclusive rejuntamento.</t>
  </si>
  <si>
    <t>Soleira de granito cinza andorinha e = 2 cm</t>
  </si>
  <si>
    <t>Lixamento manual em parede para remoção de tinta</t>
  </si>
  <si>
    <t>Aplicação manual de pintura com tinta látex acrílica em paredes, duas demãos - sobre paredes internas, externas.</t>
  </si>
  <si>
    <t>Lixamento manual em superfície metálica para remoção de tinta</t>
  </si>
  <si>
    <t>Pintura esmalte em esquadrias de ferro, duas (2) demãos, inclusive uma (1) demão de fundo anticorrosivo</t>
  </si>
  <si>
    <t>Pintura esmalte acetinado para madeira, duas demãos, sobre fundo nivelador branco em esquadrias de madeira</t>
  </si>
  <si>
    <t>13.2</t>
  </si>
  <si>
    <t>INST-AGU-005</t>
  </si>
  <si>
    <t>Ponto de água fria embutido, incluindo tubo de pvc rígido soldável e conexões</t>
  </si>
  <si>
    <t>15.2</t>
  </si>
  <si>
    <t>NST-ESG-010</t>
  </si>
  <si>
    <t>Ponto de esgoto, incluindo tubo de pvc rígido soldável de 50 mm e conexões (pias de cozinha, máquinas de lavar, etc.)</t>
  </si>
  <si>
    <t>Bacia sanitária (vaso) de louça com caixa acoplada, cor branca, inclusive acessórios de fixação/vedação, engate flexível metálico, fornecimento, instalação e rejuntamento</t>
  </si>
  <si>
    <t>Assento plástico para vaso - cor branco</t>
  </si>
  <si>
    <t>Papeleira de parede em metal cromado sem tampa, incluso fixação.</t>
  </si>
  <si>
    <t>Saboneteira plástica tipo dispenser para sabonete liquido com reservatório 800 a 1500 ml, incluso fixação.</t>
  </si>
  <si>
    <t>17.2</t>
  </si>
  <si>
    <t>17.3</t>
  </si>
  <si>
    <t>Peitoril de granito cinza andorinha e = 2 cm</t>
  </si>
  <si>
    <t>BAN-GRA-010</t>
  </si>
  <si>
    <t>Bancada em granito cinza andorinha e = 3 cm, apoiada em alvenaria</t>
  </si>
  <si>
    <t>Prateleira de granito cinza andorinha, e = 2 cm, apoiada em console de metalon 20 x 30 mm</t>
  </si>
  <si>
    <t>2.2</t>
  </si>
  <si>
    <t>SER-COR-015</t>
  </si>
  <si>
    <t>Guarda-corpo em tubo galvanizado din 2440 d = 2", com subdivisões em tubo de aço d = 1/2", h = 1,05 m</t>
  </si>
  <si>
    <t>Toalheiro plástico tipo dispenser para papel toalha interfolhado - fornecimento e instalação.</t>
  </si>
  <si>
    <t>ESQ-POR-050</t>
  </si>
  <si>
    <t>Porta de abrir, madeira de lei prancheta para pintura completa 80 x 210 cm,com ferragens em ferro latonado</t>
  </si>
  <si>
    <t>RO-41652</t>
  </si>
  <si>
    <t>DEM-LOU-005</t>
  </si>
  <si>
    <t>Remoção de louças (lavatório, banheira, pia, vaso sanitário, tanque)</t>
  </si>
  <si>
    <t>PIN-SEL-010</t>
  </si>
  <si>
    <t>Aplicação de fundo selador acrílico em paredes, uma demão.</t>
  </si>
  <si>
    <t>15.3</t>
  </si>
  <si>
    <t>NST-ESG-015</t>
  </si>
  <si>
    <t>Ponto de esgoto, incluindo tubo de pvc rígido soldável de 100 mm e conexões (vaso sanitário)</t>
  </si>
  <si>
    <t>15.4</t>
  </si>
  <si>
    <t>15.5</t>
  </si>
  <si>
    <t>15.6</t>
  </si>
  <si>
    <t>17.4</t>
  </si>
  <si>
    <t>17.5</t>
  </si>
  <si>
    <t>REVESTIMENTOS PAREDE INTERNOS E EXTERNOS</t>
  </si>
  <si>
    <t>ESQUADRIAS</t>
  </si>
  <si>
    <t>2.1.1</t>
  </si>
  <si>
    <t>2.1.2</t>
  </si>
  <si>
    <t>COBERTURA</t>
  </si>
  <si>
    <t>2.2.1</t>
  </si>
  <si>
    <t>2.3.1</t>
  </si>
  <si>
    <t>2.3.2</t>
  </si>
  <si>
    <t>2.3.3</t>
  </si>
  <si>
    <t>2.4.1</t>
  </si>
  <si>
    <t>2.4.2</t>
  </si>
  <si>
    <t xml:space="preserve">Subtotal item 2 </t>
  </si>
  <si>
    <t>LIM-GER-005</t>
  </si>
  <si>
    <t>Limpeza final para entrega da obra</t>
  </si>
  <si>
    <t>Total =</t>
  </si>
  <si>
    <t>2.5.1</t>
  </si>
  <si>
    <t>2.5.2</t>
  </si>
  <si>
    <t>2.5.3</t>
  </si>
  <si>
    <t>CCU</t>
  </si>
  <si>
    <t>Data</t>
  </si>
  <si>
    <t>Un</t>
  </si>
  <si>
    <t>MÊS 01</t>
  </si>
  <si>
    <t>MÊS 02</t>
  </si>
  <si>
    <t>MÊS 03</t>
  </si>
  <si>
    <t>MÊS 04</t>
  </si>
  <si>
    <t>MÊS 05</t>
  </si>
  <si>
    <t>Remoção de estrutura metálica chumbada em concreto (grades de janela e gradis externos)</t>
  </si>
  <si>
    <t>PIN-EMA-020</t>
  </si>
  <si>
    <t>Emassamento em esquadria de madeira com massa a óleo, duas (2) demãos, inclusive lixamento para pintura a óleo ou esmalte</t>
  </si>
  <si>
    <t>DEM-FOR-010</t>
  </si>
  <si>
    <t>Demolição de forro de placas exclusive barroteamento com afastamento e empilhamento</t>
  </si>
  <si>
    <t>REV-REB-010</t>
  </si>
  <si>
    <t>Reboco com argamassa, traço 1:2:9 (cimento, cal e areia), com aditivo impermeabilizante, esp. 20mm, aplicação manual, preparo mecânico</t>
  </si>
  <si>
    <t>REV-AZU-011</t>
  </si>
  <si>
    <t>Revestimento com azulejo branco (20x20cm), junta a prumo, assentamento com argamassa industrializada, inclusive rejuntamento</t>
  </si>
  <si>
    <t>DEM-PIS-005</t>
  </si>
  <si>
    <t>Demolição de piso cimentado ou contrapiso de argamassa espessura máxima de 10cm, inclusive afastamento</t>
  </si>
  <si>
    <t>Porta em madeira de lei revestida em laminado melamínico, com marco em alumínio anodizado natural, tarjeta livre/ocupado e dobradiças - 60x165 cm</t>
  </si>
  <si>
    <t>17.6</t>
  </si>
  <si>
    <t>17.7</t>
  </si>
  <si>
    <t>PIS-CON-015</t>
  </si>
  <si>
    <t>Contrapiso desempenado com argamassa, traço 1:3 (cimento e areia), esp. 30mm</t>
  </si>
  <si>
    <t>QNT.</t>
  </si>
  <si>
    <t>UNID</t>
  </si>
  <si>
    <t>MET-TOR-030</t>
  </si>
  <si>
    <t>Torneira metálica para lavatório, fechamento automático, acabamento cromado, com arejador, aplicação de mesa, inclusive engate flexível metálico, fornecimento e instalação</t>
  </si>
  <si>
    <t>MET-TOR-020</t>
  </si>
  <si>
    <t>Torneira metálica para pia, bica móvel, acabamento cromado, com arejador, aplicação de parede, inclusive  fornecimento e instalação</t>
  </si>
  <si>
    <t>MET-TOR-040</t>
  </si>
  <si>
    <t>Torneira metálica para tanque, acabamento cromado, inclusive engate flexível metálico, fornecimento e instalação</t>
  </si>
  <si>
    <t>17.8</t>
  </si>
  <si>
    <t>17.9</t>
  </si>
  <si>
    <t>17.10</t>
  </si>
  <si>
    <t>REV-CER-015</t>
  </si>
  <si>
    <t>PIS-API-005</t>
  </si>
  <si>
    <t>Apicoamento de paredes para remoção de argamassa e pintura</t>
  </si>
  <si>
    <t>Verga pré-moldada em concreto armado fck = 15 mpa - 10x10cm, para janelas.</t>
  </si>
  <si>
    <t>Contraverga pré-moldada em concreto armado fck = 15 mpa - 10x10cm.</t>
  </si>
  <si>
    <t>Verga pré-moldada em concreto armado fck = 15 mpa - 10x10cm, para portas.</t>
  </si>
  <si>
    <t>ED-48450</t>
  </si>
  <si>
    <t>Remoção de divisória de pedras (mármore, granito, ardósia, marmorite), inclusve afastamento</t>
  </si>
  <si>
    <t>DIV-PED-015</t>
  </si>
  <si>
    <t>Divisória em granito cinza andorinha, e = 3 cm, inclusive ferragens em latão cromado</t>
  </si>
  <si>
    <t>PIN-LAT-006</t>
  </si>
  <si>
    <t>Pintura látex (pva) em teto, duas (2) demãos, exclusive selador acrílico e massa corrida (pva)</t>
  </si>
  <si>
    <t>Preparação para emassamento ou pintura (látex/acrílica) em teto, inclusive lixamento e uma (1) demão de selador acrílico</t>
  </si>
  <si>
    <t>10.47.09</t>
  </si>
  <si>
    <t>SUDECAP</t>
  </si>
  <si>
    <t>Bebedouro empresárial BDF300 IBBL/Equivalente (ACESSIVEL)</t>
  </si>
  <si>
    <t>LOU-VAS-025</t>
  </si>
  <si>
    <t>Bacia sanitária (vaso) de louça convencional infantil, cor branca, inclusive acessórios de fixação/vedação, válvula de descarga metálica com acionamento duplo, tubo de ligação de latão com canopla, fornecimento, instalação e rejuntamento</t>
  </si>
  <si>
    <t>ACE-BAR-025</t>
  </si>
  <si>
    <t>ACE-BAR-020</t>
  </si>
  <si>
    <t>Barra de apoio vertical em aço inox  para p.n.e.l=70cm, inclusive fixação</t>
  </si>
  <si>
    <t>Barra de apoio p.n.e. l = 40 cm, inclusive fixação</t>
  </si>
  <si>
    <t>COMP.04</t>
  </si>
  <si>
    <t>MET-DUC-005</t>
  </si>
  <si>
    <t>LOU-LAV-015</t>
  </si>
  <si>
    <t>LOU-TAN-005</t>
  </si>
  <si>
    <t>Ducha higiênica metálica, com registro para controle de fluxo de água 1/2"- fornecimento e instalação.</t>
  </si>
  <si>
    <t>Cuba de embutir oval em louça branca, 35 x 50cm ou equivalente - fornecimento e instalação</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</si>
  <si>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</si>
  <si>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Chuveiro comum em plástico cromado, com cano, 4 temperaturas (110/220 v).- fornecimento e instalação.</t>
  </si>
  <si>
    <t>Cuba de embutir de aço inoxidável média, incluso válvula tipo americana em metal cromado e sifão flexível em pvc- fornecimento e instalação</t>
  </si>
  <si>
    <t>Cuba em aço inoxidável de embutir, aisi304, aplicação para tanque (600x600x400mm), assentamento em bancada, inclusive válvula de escoamento de metal com acabamento cromado, sifão de metal tipo copo com acabamento cromado, fornecimento e instalação</t>
  </si>
  <si>
    <t>Terça metálica, em perfil UDC127x50x5,13, p/ uso em coberturas de pórticos diversos vãos, pintura 01 demão epoxi fundo óxido ferro + 02 demãos esmalte epoxi branco</t>
  </si>
  <si>
    <t>Pintura com emulsão asfáltica, duas (2) demãos</t>
  </si>
  <si>
    <t>Barra de apoio lateral articulada, com trava, em aco inox polido, fixada na parede - fornecimento e instalação</t>
  </si>
  <si>
    <t>JANELA DE VIDRO TEMPERADO</t>
  </si>
  <si>
    <t>SER-JAN-030</t>
  </si>
  <si>
    <t>Tela de nylon tipo mosquiteiro com moldura em aluminio anodizado natural</t>
  </si>
  <si>
    <r>
      <rPr>
        <b/>
        <sz val="10"/>
        <color rgb="FF000000"/>
        <rFont val="Arial"/>
        <family val="2"/>
      </rPr>
      <t>Descrição:</t>
    </r>
    <r>
      <rPr>
        <sz val="10"/>
        <color rgb="FF000000"/>
        <rFont val="Arial"/>
        <family val="2"/>
      </rPr>
      <t xml:space="preserve"> Porta em madeira de lei revestida em laminado melamínico, com marco em alumínio anodizado natural, tarjeta livre/ocupado e dobradiças - 60 x 165 cm (pm-03)</t>
    </r>
  </si>
  <si>
    <t>Fonte de Coeficientes: SETOP</t>
  </si>
  <si>
    <t>Fonte de Preço: SETOP COMPOSIÇÃO 01/2020</t>
  </si>
  <si>
    <t>Porta em madeira de lei revestida em laminado melamínico, com marco em alumínio anodizado natural, tarjeta livre/ocupado e dobradiças</t>
  </si>
  <si>
    <t>COMP. 05</t>
  </si>
  <si>
    <t>Bebedouro industrial suspenso, inox, 200l</t>
  </si>
  <si>
    <t>C4294</t>
  </si>
  <si>
    <t>Forro de gesso acartonado estruturado com alçapão de visita - fornecimento e montagem</t>
  </si>
  <si>
    <t>Gradil em ferro fixado em vãos de janelas, formado por barras chatas 25x4,8 mm.</t>
  </si>
  <si>
    <t>Roda meio em granito cinza andorinha e = 2 cm</t>
  </si>
  <si>
    <t>Coifa em aço inox escovado aisi 304, tipo encostada, com filtros inercias, descarga vertical superior com diam=30cm, exaustor, duto, chapeu chines, filtro, dimensões: larg=1400 x prof=1200 x alt=600mm</t>
  </si>
  <si>
    <t>6.2</t>
  </si>
  <si>
    <t>6.3</t>
  </si>
  <si>
    <t>6.4</t>
  </si>
  <si>
    <t>9.2</t>
  </si>
  <si>
    <t>11.3</t>
  </si>
  <si>
    <t>14.2</t>
  </si>
  <si>
    <t>15.7</t>
  </si>
  <si>
    <t>15.8</t>
  </si>
  <si>
    <t>15.9</t>
  </si>
  <si>
    <t>15.10</t>
  </si>
  <si>
    <t>15.11</t>
  </si>
  <si>
    <t>15.12</t>
  </si>
  <si>
    <t>15.13</t>
  </si>
  <si>
    <t>15.14</t>
  </si>
  <si>
    <t>15.15</t>
  </si>
  <si>
    <t>15.16</t>
  </si>
  <si>
    <t>15.17</t>
  </si>
  <si>
    <t>'</t>
  </si>
  <si>
    <t>3.2</t>
  </si>
  <si>
    <t>Subtotal item 7</t>
  </si>
  <si>
    <t>Subtotal item 8</t>
  </si>
  <si>
    <t>Subtotal item 11</t>
  </si>
  <si>
    <t>Subtotal item 12</t>
  </si>
  <si>
    <t>13.3</t>
  </si>
  <si>
    <t>Subtotal item 15</t>
  </si>
  <si>
    <t>Subtotal item 16</t>
  </si>
  <si>
    <t>Subtotal item 17</t>
  </si>
  <si>
    <t>PIN-ACR-030</t>
  </si>
  <si>
    <t>Aplicacao de tinta a base de epoxi sobre piso</t>
  </si>
  <si>
    <t>Pintura acrílica para piso em faixa de demarcação de quadra, duas (2) demãos, faixa com largura de 5 cm</t>
  </si>
  <si>
    <t>Piso borracha</t>
  </si>
  <si>
    <t>DRE-TUB-015</t>
  </si>
  <si>
    <t>Fornecimento e assentamento de tubo pvc rígido, drenagem/pluvial, pbv - série normal, dn 100 mm (4"), inclusive conexões</t>
  </si>
  <si>
    <t>BASE DE PREÇO: ABRIL-2020/SETOP, JULHO-2020/SINAPI E OUTRAS FONTES DE PESQUISA DE PREÇO.</t>
  </si>
  <si>
    <t xml:space="preserve">Cerâmica esmaltada 10 x 10 cm pei iv, assentada com argamassa pré-fabricada, inclusive rejuntamento - conforme projeto </t>
  </si>
  <si>
    <t>COMP. 06</t>
  </si>
  <si>
    <t>COMP. 07</t>
  </si>
  <si>
    <t>Mão de Obra</t>
  </si>
  <si>
    <t>H</t>
  </si>
  <si>
    <t>Total de Mão de Obra</t>
  </si>
  <si>
    <r>
      <t>Unidade:</t>
    </r>
    <r>
      <rPr>
        <sz val="10"/>
        <color rgb="FF000000"/>
        <rFont val="Arial"/>
        <family val="2"/>
      </rPr>
      <t xml:space="preserve"> un</t>
    </r>
  </si>
  <si>
    <t>MERCADO</t>
  </si>
  <si>
    <t>un</t>
  </si>
  <si>
    <t>Fonte de Preço : MERCADO</t>
  </si>
  <si>
    <t>Fonte de Coeficientes: SME</t>
  </si>
  <si>
    <r>
      <t xml:space="preserve">Descrição: </t>
    </r>
    <r>
      <rPr>
        <sz val="10"/>
        <color rgb="FF000000"/>
        <rFont val="Arial"/>
        <family val="2"/>
      </rPr>
      <t>BEBEDOURO INDUSTRIAL SUSPENSO, INOX, 200L</t>
    </r>
  </si>
  <si>
    <t>COTAÇÃO</t>
  </si>
  <si>
    <t>AUXILIAR DE BOMBEIRO</t>
  </si>
  <si>
    <t>BOMBEIRO</t>
  </si>
  <si>
    <t>Fonte de Preço : MERCADO - SINAPI INSUMOS FEV/2020</t>
  </si>
  <si>
    <t>Fonte de Coeficientes: 10.47.09 SUDECAP 02/2020</t>
  </si>
  <si>
    <t>COTAÇÃO DE PREÇOS DE MERCADO</t>
  </si>
  <si>
    <t>COT. 01</t>
  </si>
  <si>
    <t>COT. 02</t>
  </si>
  <si>
    <t>COT. 03</t>
  </si>
  <si>
    <t xml:space="preserve">OBS: </t>
  </si>
  <si>
    <t>VALOR MÉDIO</t>
  </si>
  <si>
    <t>BEBEDOURO INDUSTRIAL 200L EM INOX, MOTOR PRIMEIRA LINHA</t>
  </si>
  <si>
    <t>CANÔVAS INSDUSTRIA E COMERCIO LTDA - Consulta Online</t>
  </si>
  <si>
    <t>BONSUCESSO - Consulta Online</t>
  </si>
  <si>
    <t>GRUPO MARINHO ELETRODOMESTICOS -  Consulta Online</t>
  </si>
  <si>
    <t>BANHEIRA DE PVC EMBUTIR</t>
  </si>
  <si>
    <t>BEBEDOURO 200L</t>
  </si>
  <si>
    <t>PISO PARA PLAYGROUND SOFT</t>
  </si>
  <si>
    <t>MEGA BRINQUEDOS LTDA - Consulta Online</t>
  </si>
  <si>
    <t>FANTASY PLAY COMÉRCIO DE BRINQUEDOS LTDA - Consulta Online</t>
  </si>
  <si>
    <t>MERCANTE BRASIL LTDA EPP - Consulta Online</t>
  </si>
  <si>
    <r>
      <t>Descrição:</t>
    </r>
    <r>
      <rPr>
        <sz val="10"/>
        <color rgb="FF000000"/>
        <rFont val="Arial"/>
        <family val="2"/>
      </rPr>
      <t xml:space="preserve"> Piso para playgroud impact soft</t>
    </r>
  </si>
  <si>
    <t>Piso para playgroud impact soft</t>
  </si>
  <si>
    <t>OBRA</t>
  </si>
  <si>
    <t>Quantitativo unitário - 1 unidade</t>
  </si>
  <si>
    <t>Tapume de chapa de madeira compensada com 6mm.</t>
  </si>
  <si>
    <t>Quantitativo estipulado para a execução da obra - 10,00 x 2,00</t>
  </si>
  <si>
    <t>2.2.2</t>
  </si>
  <si>
    <t>2.2.3</t>
  </si>
  <si>
    <t>DEM-TEL-005</t>
  </si>
  <si>
    <t>Remoção de telha metálica ou pvc, inclusive afastamento e empilhamento</t>
  </si>
  <si>
    <t>2.2.4</t>
  </si>
  <si>
    <t>DEM-CAL-005</t>
  </si>
  <si>
    <t>Remoção de calha galvanizada ou pvc, inclusive afastamento</t>
  </si>
  <si>
    <t>Tratamento de trincas (execução, incluindo o fornecimento e transporte de todos os materiais)</t>
  </si>
  <si>
    <t>MOVIMENTAÇÃO DE TERRA</t>
  </si>
  <si>
    <t>Subtotal item 3</t>
  </si>
  <si>
    <t>Subtotal  item 4</t>
  </si>
  <si>
    <t>Subtotal item 5</t>
  </si>
  <si>
    <t>6.1.1</t>
  </si>
  <si>
    <t>6.1.2</t>
  </si>
  <si>
    <t>6.2.1</t>
  </si>
  <si>
    <t>6.3.1</t>
  </si>
  <si>
    <t>6.3.2</t>
  </si>
  <si>
    <t>6.3.3</t>
  </si>
  <si>
    <t>6.4.1</t>
  </si>
  <si>
    <t>6.4.2</t>
  </si>
  <si>
    <t>Subtotal  item 6</t>
  </si>
  <si>
    <t>7.2</t>
  </si>
  <si>
    <t>7.3</t>
  </si>
  <si>
    <t>7.4</t>
  </si>
  <si>
    <t>9.3</t>
  </si>
  <si>
    <t>9.4</t>
  </si>
  <si>
    <t>9.5</t>
  </si>
  <si>
    <t>Subtotal item 9</t>
  </si>
  <si>
    <t>10.1.1</t>
  </si>
  <si>
    <t>10.1.2</t>
  </si>
  <si>
    <t>10.1.3</t>
  </si>
  <si>
    <t>10.2.1</t>
  </si>
  <si>
    <t>Subtotal  item 10</t>
  </si>
  <si>
    <t>11.4</t>
  </si>
  <si>
    <t>11.5</t>
  </si>
  <si>
    <t>11.6</t>
  </si>
  <si>
    <t>11.7</t>
  </si>
  <si>
    <t>11.8</t>
  </si>
  <si>
    <t>11.9</t>
  </si>
  <si>
    <t>11.10</t>
  </si>
  <si>
    <t>11.11</t>
  </si>
  <si>
    <t>11.12</t>
  </si>
  <si>
    <t>Subtotal item 13</t>
  </si>
  <si>
    <t>Subtotal  item 14</t>
  </si>
  <si>
    <t>15.18</t>
  </si>
  <si>
    <t>15.19</t>
  </si>
  <si>
    <t>15.20</t>
  </si>
  <si>
    <t>TER-ATE-010</t>
  </si>
  <si>
    <t>Aterro compactado com placa vibratória</t>
  </si>
  <si>
    <t>RO-40118</t>
  </si>
  <si>
    <t>Remoção, transporte e espalhamento de solo. Distância média de transporte &lt;= 200 m</t>
  </si>
  <si>
    <t>Área da horta</t>
  </si>
  <si>
    <t>Área correspondente a aterro na área da horta (fundos da cozinha) - volume de solo - 32,00 x 4,90 x 0,50</t>
  </si>
  <si>
    <t>PAI-GRA-015</t>
  </si>
  <si>
    <t>Plantio de grama esmeralda em placas, inclusive terra vegetal e conservação por 30 dias</t>
  </si>
  <si>
    <t>Área correspondente a aterro na área da horta (fundos da cozinha) - área gramada - 32,00 x 4,90</t>
  </si>
  <si>
    <t>Solário</t>
  </si>
  <si>
    <t>Área retirada em projeto - 69,65m²</t>
  </si>
  <si>
    <t>Cozinha</t>
  </si>
  <si>
    <t>Quantidade - 1 unidade</t>
  </si>
  <si>
    <t>DRE-CAN-005</t>
  </si>
  <si>
    <t>Canaleta para drenagem, pré-moldada, tipo meia cana, diâmetro 30cm, exclusive tampa, inclusive assentamento em argamassa, traço 1:3 (cimento e areia), escavação, transporte e retirada do material escavado (em caçamba)</t>
  </si>
  <si>
    <t>COB-TEL-050</t>
  </si>
  <si>
    <t>Cobertura em telha metálica galvanizada trapezoidal, tipo dupla termoacústica com duas faces trapezoidais, esp. 0,43mm, preenchimento em poliestireno expandido/isopor com esp. 30mm, acabamento natural, inclusive acessórios para fixação, fornecimento e instalação</t>
  </si>
  <si>
    <t>7.5</t>
  </si>
  <si>
    <t>7.6</t>
  </si>
  <si>
    <t>COB-CUM-015</t>
  </si>
  <si>
    <t>PLU-CAL-045</t>
  </si>
  <si>
    <t>PLU-CHA-005</t>
  </si>
  <si>
    <t>Colocação de cumeeira galvanizada trapezoidal e = 0,50 mm, simples</t>
  </si>
  <si>
    <t>Calha de chapa galvanizada nº. 24 gsg, desenvolvimento = 50 cm</t>
  </si>
  <si>
    <t>Chapim metálico, com pingadeira, chapa galvanizada nº 24, desenvolvimento = 35 cm</t>
  </si>
  <si>
    <t>Área externa próx. Parque</t>
  </si>
  <si>
    <t>Sala 04</t>
  </si>
  <si>
    <t>Troca de porta - 1 unidade 0,80 x 2,10</t>
  </si>
  <si>
    <t>Sala 07</t>
  </si>
  <si>
    <t>Sala 05</t>
  </si>
  <si>
    <t>Área administrativa</t>
  </si>
  <si>
    <t>Remoção de porta - 1 unidade 0,80 x 2,10</t>
  </si>
  <si>
    <t>Berçário 01</t>
  </si>
  <si>
    <t>Lavanderia</t>
  </si>
  <si>
    <t>Remoção de janela - 1 unidade 3,00 x 1,30</t>
  </si>
  <si>
    <t>Remoção de grade passa prato creche - 1 unidade 1,90 x 1,45</t>
  </si>
  <si>
    <t>Remoção de grade passa prato escola - 1 unidade 1,20 x 0,60</t>
  </si>
  <si>
    <t>Portão entrada/refeitório</t>
  </si>
  <si>
    <t>Remoção de grade passa prato escola - 1 unidade 1,60 x 2,10</t>
  </si>
  <si>
    <t>Remoção de grade da janela - 1 unidade 3,00 x 1,30</t>
  </si>
  <si>
    <t>Obra</t>
  </si>
  <si>
    <t>Biblioteca</t>
  </si>
  <si>
    <t>Retirada de forro - área retirada em projeto</t>
  </si>
  <si>
    <t>Sala 01</t>
  </si>
  <si>
    <t>Sala 09</t>
  </si>
  <si>
    <t>Sala 02</t>
  </si>
  <si>
    <t>Sala 03</t>
  </si>
  <si>
    <t>Sala 06</t>
  </si>
  <si>
    <t>Sala 08</t>
  </si>
  <si>
    <t>Sala recurso</t>
  </si>
  <si>
    <t>Sala dos professores</t>
  </si>
  <si>
    <t>Creche</t>
  </si>
  <si>
    <t>Berçário 02</t>
  </si>
  <si>
    <t>Corredor</t>
  </si>
  <si>
    <t>Ban. Fem. Creche</t>
  </si>
  <si>
    <t>Ban. Masc.. Creche</t>
  </si>
  <si>
    <t>Ban. Fun. Creche</t>
  </si>
  <si>
    <t>Retirada de forro - área retirada em projeto - (10,60 + 9,15 + 6,21 + 27,60 + 4,45 + 36,75) x 2,00</t>
  </si>
  <si>
    <t>Metragem linear - 38,91 x 2,00</t>
  </si>
  <si>
    <t>Quadra</t>
  </si>
  <si>
    <t>Bloco da Creche</t>
  </si>
  <si>
    <t>Bloco da escola</t>
  </si>
  <si>
    <t>Área levantada em projeto - remoção para reaproveitamento</t>
  </si>
  <si>
    <t>Área levantada em projeto</t>
  </si>
  <si>
    <t>Ban. Masc. Escola</t>
  </si>
  <si>
    <t>Ban. Fem. Escola</t>
  </si>
  <si>
    <t>Ban. PNE</t>
  </si>
  <si>
    <t>Ban. Prof.</t>
  </si>
  <si>
    <t>Maternal</t>
  </si>
  <si>
    <t>Despensa</t>
  </si>
  <si>
    <t>Ban. Mas. Creche</t>
  </si>
  <si>
    <t>Refeitório Creche</t>
  </si>
  <si>
    <t>Área de banho</t>
  </si>
  <si>
    <t>Copa Berçário 01</t>
  </si>
  <si>
    <t>DML</t>
  </si>
  <si>
    <t>Circulação escola</t>
  </si>
  <si>
    <t>Refeitório Escola</t>
  </si>
  <si>
    <t>Externo</t>
  </si>
  <si>
    <t>Perimetro x altura de barramento (MENOS DESCONTO DE VÃO) - ((6,50 + 6,15 + 6,50 + 6,15) x 1,80) - ((0,80 x 1,80) + (6,00 x 0,80))</t>
  </si>
  <si>
    <t>Perimetro x altura de barramento (MENOS DESCONTO DE VÃO) - ((7,35 + 6,15 + 7,35 + 6,15) x 1,80) - ((0,80 x 1,80) + (6,00 x 0,80))</t>
  </si>
  <si>
    <t>Perimetro x altura de barramento (MENOS DESCONTO DE VÃO) - ((5,50 + 6,15 + 5,50 + 6,15) x 1,80) - ((0,80 x 1,80) + (3,00 x 0,80))</t>
  </si>
  <si>
    <t>Perimetro x altura de barramento (MENOS DESCONTO DE VÃO) - ((6,50 + 6,10 + 6,50 + 6,10) x 1,80) - ((0,80 x 1,80) + (6,00 x 0,80))</t>
  </si>
  <si>
    <t>Perimetro x altura de barramento (MENOS DESCONTO DE VÃO) - ((6,00 + 3,10 + 6,00 + 3,10 + 4,90 + 4,90 + 1,40 + 1,10 + 1,10 + 1,10 + 1,10 + 2,00 + 2,00) x 1,80) - ((0,80 + 0,60 + 0,60 + 0,60 + 1,00) x 1,80)</t>
  </si>
  <si>
    <t>Perimetro x altura de barramento (MENOS DESCONTO DE VÃO) - ((6,00 + 3,10 + 3,62 + 3,62 + 3,62 + 1,35 + 1,35 + 1,10 + 1,10 + 1,65 + 2,38 + 1,45) x 1,80) - ((0,80 + 0,60 + 0,60 + 1,00) x 1,80)</t>
  </si>
  <si>
    <t>Perimetro x altura de barramento (MENOS DESCONTO DE VÃO) - ((1,50 + 2,20 + 1,50 + 2,20) x 1,80) - (1,00 x 1,80)</t>
  </si>
  <si>
    <t>Perimetro x altura de barramento (MENOS DESCONTO DE VÃO) - ((5,35 + 4,45 + 5,35 + 4,45) x 1,80) - ((0,80 x 1,80) + (4,30 x 0,80))</t>
  </si>
  <si>
    <t>Perimetro x altura de barramento (MENOS DESCONTO DE VÃO) - ((3,00 + 6,15 + 3,00 + 6,15) x 1,80) - ((1,00 x 1,80) + (2,90 x 0,80))</t>
  </si>
  <si>
    <t>Perimetro x altura de barramento (MENOS DESCONTO DE VÃO) - ((3,00 + 6,00 + 6,00 + 4,17 + 3,00 + 1,83 + 3,00) x 1,80) - ((0,80 x 1,80 x 3,00) + (2,80 x 0,80))</t>
  </si>
  <si>
    <t>Perimetro x altura de barramento (MENOS DESCONTO DE VÃO) - ((2,85 + 1,70 + 2,85 + 1,70) x 1,80) - (0,80 x 1,80)</t>
  </si>
  <si>
    <t>Perimetro x altura de barramento (MENOS DESCONTO DE VÃO) - ((6,15 + 6,15 + 5,05 + 5,05) x 2,50) + ((0,80 x 2,10 x 2,00) + (3,00 x 1,20 x 2,00))</t>
  </si>
  <si>
    <t>Perimetro x altura de barramento (MENOS DESCONTO DE VÃO) - ((6,25 + 5,40 + 8,30 + 2,75 + 2,05 + 2,65) x 2,50) - ((3,00 x 1,00) + (0,80 x 2,10 x 3,00) + ((1,70 + 1,93) x 1,45))</t>
  </si>
  <si>
    <t>Perimetro x altura de barramento (MENOS DESCONTO DE VÃO) - ((1,90 + 4,05 + 1,90 + 4,05) x 2,50) - ((0,80 x 2,10) + (1,00 x 0,50))</t>
  </si>
  <si>
    <t>Perimetro x altura de barramento (MENOS DESCONTO DE VÃO) - ((3,15 + 2,20 + 3,15 + 2,20) x 2,30) - ((0,80 x 2,10) + (1,00 x 0,50))</t>
  </si>
  <si>
    <t>Perimetro x altura de barramento (MENOS DESCONTO DE VÃO) - ((3,15 + 1,30 + 3,15 + 1,30) x 2,30) - ((0,80 x 2,10) + (1,00 x 0,50))</t>
  </si>
  <si>
    <t>Perimetro x altura de barramento (MENOS DESCONTO DE VÃO) - ((11,20 + 5,50 + 11,20 + 5,50) + 2,30) - ((0,80 x 2,10 x 8,00) + (1,00 x 2,30) + (3,65 x 1,20) + (1,00 x 0,50 x 2,00) + (3,00 x 1,20) + (1,93 x 1,45))</t>
  </si>
  <si>
    <t>Perimetro x altura de barramento (MENOS DESCONTO DE VÃO) - ((5,90  + 6,00 + 3,25 + 8,80 + 2,93) x 1,80) - ((0,80 x 1,80) + ((1,90 + 2,40) x 0,80))</t>
  </si>
  <si>
    <t>Perimetro x altura de barramento (MENOS DESCONTO DE VÃO) - ((6,00 + 5,05 + 6,00 + 5,05) x 1,80) - ((0,80 x 1,80 x 2,00) + (3,00 x 0,80))</t>
  </si>
  <si>
    <t>Perimetro x altura de barramento (MENOS DESCONTO DE VÃO) - ((8,35 + 5,40 + 8,35 + 5,40) x 1,80) - ((0,80 x 1,80 x 4,00) + (3,75 x 0,80))</t>
  </si>
  <si>
    <t>Perimetro x altura de barramento (MENOS DESCONTO DE VÃO) - ((2,00 + 3,00 + 2,00 + 3,00) x 2,30) - ((0,80 x 2,10) + (1,40 x 0,40))</t>
  </si>
  <si>
    <t>Perimetro x altura de barramento (MENOS DESCONTO DE VÃO) - ((2,50 + 3,00 + 2,50 + 3,00) x 2,30) - ((0,80 x 2,10) + (1,93 x 1,30))</t>
  </si>
  <si>
    <t>Perimetro x altura de barramento (MENOS DESCONTO DE VÃO) - ((3,15 + 3,00 + 3,15 + 3,00) x 2,30) - ((0,80 x 2,10 x 2,00) + (3,15 x 1,20))</t>
  </si>
  <si>
    <t>Perimetro x altura de barramento (MENOS DESCONTO DE VÃO) - ((1,40 + 3,00 + 1,40 + 3,00) x 2,30) - ((0,80 x 2,10) + (1,00 x 0,50))</t>
  </si>
  <si>
    <t>Perimetro x altura de barramento (MENOS DESCONTO DE VÃO) - ((27,60 + 4,45 + 27,60 + 6,15 + 2,85 + 6,15) x 1,80) - ((0,80 x 1,80 x 12,00) + (1,00 x 1,80))</t>
  </si>
  <si>
    <t>Perimetro x altura de barramento (MENOS DESCONTO DE VÃO) - ((10,60 + 9,15 + 6,15 + 6,30) x 1,80) - ((0,80 x 1,80 x 4,00) + (1,00 x 1,80) + ((2,80 + 2,70) x 0,80))</t>
  </si>
  <si>
    <t>Perimetro x altura de barramento (MENOS DESCONTO DE VÃO) - ((54,50 + 4,80 + 12,75 + 4,80 + 12,75) x 1,80) - ((0,80 x 1,80 x 6,00) + (3,00 x 0,80 x 12,00) + (2,00 x 0,80 x 4,00))</t>
  </si>
  <si>
    <t>Levantamento retirado in loco - metragem linear - 30,00 m</t>
  </si>
  <si>
    <t>Área retirada em projeto</t>
  </si>
  <si>
    <t>Diretoria</t>
  </si>
  <si>
    <t>PNE</t>
  </si>
  <si>
    <t>1 Vaso sanitário caixa acoplada e 1 lavatório PNE</t>
  </si>
  <si>
    <t>Ban. Masc. e Fem. Escola</t>
  </si>
  <si>
    <t>1 Vaso sanitário</t>
  </si>
  <si>
    <t>Ban. Creche</t>
  </si>
  <si>
    <t>7 Vasos sanitário</t>
  </si>
  <si>
    <t>2 Vasos sanitário e 2 lavatórios</t>
  </si>
  <si>
    <t>1 tanque</t>
  </si>
  <si>
    <t>1 lavatório e 1 vaso sanitário</t>
  </si>
  <si>
    <t>Área de bancada - (0,50 x 1,10) + (0,25 x 2,00)</t>
  </si>
  <si>
    <t>Ban. Masc. Creche</t>
  </si>
  <si>
    <t>Área de divisória - (((1,50 + 2,20) x 1,80) - (0,80 x 1,80 x 2,00))</t>
  </si>
  <si>
    <t>Área de tela - (3,00 x 1,00) + (1,70 x 1,45) + (0,80 x 2,10)</t>
  </si>
  <si>
    <t>Despensa Fria</t>
  </si>
  <si>
    <t>Despensa Seca</t>
  </si>
  <si>
    <t>Área de tela - (1,00 x 0,50)</t>
  </si>
  <si>
    <t>Área parque fundos</t>
  </si>
  <si>
    <t>Metragem linear</t>
  </si>
  <si>
    <t>Metragem linear - 13,00 m</t>
  </si>
  <si>
    <t>Muro de divisa</t>
  </si>
  <si>
    <t>Metragem linear - 59,21 + 57,49 + 14,27 + 39,77 + 37,32 + 3,37 + 11,97 + 13,48 + 22,19 + 21,67</t>
  </si>
  <si>
    <t>Metragem linear de peças de terça - 6,00 x 3,00</t>
  </si>
  <si>
    <t>Quantidade de pontos por ambiente</t>
  </si>
  <si>
    <t>Área de Banho</t>
  </si>
  <si>
    <t>Ban. Masc.</t>
  </si>
  <si>
    <t>Ban. Fem.</t>
  </si>
  <si>
    <t>Quantidade retirada em projeto</t>
  </si>
  <si>
    <t>Metragem retirada em projeto</t>
  </si>
  <si>
    <t>Metragem retirada em projeto - 37,29 + 7,49 + 44,03 + 3,79 + 19,32</t>
  </si>
  <si>
    <t>Ban. Masc. E Fem.</t>
  </si>
  <si>
    <t>Quantidade necessária para troca</t>
  </si>
  <si>
    <t>Banheiro Funcionário</t>
  </si>
  <si>
    <t>Ban. Fun.</t>
  </si>
  <si>
    <t>Quantiade retirada in loco</t>
  </si>
  <si>
    <t>Ban. Func.</t>
  </si>
  <si>
    <t>Sala dos Prof.</t>
  </si>
  <si>
    <t>Subtotal  item 18</t>
  </si>
  <si>
    <t>Quantitativo retirado em projeto</t>
  </si>
  <si>
    <t>Área admnistrativa</t>
  </si>
  <si>
    <t>Área - ((0,60 x 1,60 x 3,00) + (1,00 x 1,60))</t>
  </si>
  <si>
    <t>Área - ((0,60 x 1,60 x 2,00) + (1,00 x 1,60))</t>
  </si>
  <si>
    <t>Área - (0,60 x 1,05)</t>
  </si>
  <si>
    <t>Área - (0,50 x 0,80 x 4,00)</t>
  </si>
  <si>
    <t>Área - (0,40 x 0,60)</t>
  </si>
  <si>
    <t>Área - 1,00 x 0,50</t>
  </si>
  <si>
    <t>Fornecimento e assentamento de janela, inclusive fornecimento de vidro, ferragens e acessórios.</t>
  </si>
  <si>
    <t>Área retirada em projeto - 0,80 x 0,15</t>
  </si>
  <si>
    <t>Área retirada em projeto - 1,00 x 0,15</t>
  </si>
  <si>
    <t>Refeitório</t>
  </si>
  <si>
    <t>Área retirada em projeto - (1,60 x 0,15) + (0,80 x 0,15)</t>
  </si>
  <si>
    <t>Sala Recurso</t>
  </si>
  <si>
    <t>Área retirada em projeto - 0,80 x 0,15 x 2,00</t>
  </si>
  <si>
    <t>Ban. dos professores</t>
  </si>
  <si>
    <t>ED-9156</t>
  </si>
  <si>
    <t>Tanque de mármore sintético duplo, capacidade 37 litros, inclusive acessórios de fixação, válvula de escoamento de metal com acabamento cromado, sifão de metal tipo copo com acabamento cromado, fornecimento e instalação, exclusive torneira</t>
  </si>
  <si>
    <t>Área - 1,00 x 0,15</t>
  </si>
  <si>
    <t>Área de demolição - ((3,00 x 2,80) + (1,00 x 0,50)) - (0,80 x 2,10)</t>
  </si>
  <si>
    <t>Área de demolição - (0,80 x 2,10 x 2,00) + (2,50 x 2,80)</t>
  </si>
  <si>
    <t>Área de demolição - ((1,65 + 2,00) x 0,35) + (1,00 x 0,50)</t>
  </si>
  <si>
    <t>Área - (3,00 x 2,80) - (0,80 x 2,10)</t>
  </si>
  <si>
    <t>Área - (2,05 x 1,10) + (1,60 x 2,80)</t>
  </si>
  <si>
    <t>Área - (1,15 + 0,55 + 0,90 + 2,65 + 1,30) x 2,80</t>
  </si>
  <si>
    <t>FOR-PVC-005</t>
  </si>
  <si>
    <t>Forro em pvc branco de l = 10 cm</t>
  </si>
  <si>
    <t>Retirada e recolocação de telha cerâmica capa-canal, com até duas águas incluso içamento</t>
  </si>
  <si>
    <t>Área estipulada</t>
  </si>
  <si>
    <t xml:space="preserve">CCU </t>
  </si>
  <si>
    <t>BANHEIRA INFANTIL DE EMBUTIR EM FIBRA DE VIDRO</t>
  </si>
  <si>
    <t>Banheira infantil de embutir em fibra de vidro</t>
  </si>
  <si>
    <r>
      <t>Descrição:</t>
    </r>
    <r>
      <rPr>
        <sz val="10"/>
        <color theme="1"/>
        <rFont val="Arial"/>
        <family val="2"/>
      </rPr>
      <t xml:space="preserve"> BANHEIRA INFANTIL DE EMBUTIR EM FIBRA DE VIDRO</t>
    </r>
  </si>
  <si>
    <r>
      <t>Unidade:</t>
    </r>
    <r>
      <rPr>
        <sz val="10"/>
        <color theme="1"/>
        <rFont val="Arial"/>
        <family val="2"/>
      </rPr>
      <t xml:space="preserve"> un</t>
    </r>
  </si>
  <si>
    <t>MERCADO-02</t>
  </si>
  <si>
    <t>ENCANADOR OU BOMBEIRO HIDRAULICO</t>
  </si>
  <si>
    <t>Fonte de Preço: MERCADO / SINAPI INSUMOS 06/2020</t>
  </si>
  <si>
    <t>Fonte de Coeficientes:PMM</t>
  </si>
  <si>
    <t>BANHEIRA INFANTIL DE FIBRA DE VIDRO - 10L</t>
  </si>
  <si>
    <t xml:space="preserve">COORPERFIBRA - Consulta Online </t>
  </si>
  <si>
    <t>AQUALAX -  Consulta online</t>
  </si>
  <si>
    <t>INST-INT-005</t>
  </si>
  <si>
    <t>Ponto de interruptor, incluindo eletroduto de pvc rígido e caixa com espelho</t>
  </si>
  <si>
    <t>INST-LUZ-005</t>
  </si>
  <si>
    <t>Ponto de luz embutido, incluindo eletroduto de pvc rígido e caixa com espelho (por unidade)</t>
  </si>
  <si>
    <t>INST-TOM-005</t>
  </si>
  <si>
    <t>Ponto de tomada de embutir, incluindo eletroduto de pvc rígido e caixa com espelho</t>
  </si>
  <si>
    <t>Área - (((1,20 + 0,86) x 1,20) + (1,20 x 2,00)) - (0,60 x 1,20)</t>
  </si>
  <si>
    <t>Área - (0,60 x 1,20)</t>
  </si>
  <si>
    <t>Quantitativo estipulado</t>
  </si>
  <si>
    <t>Área nova de cobertura</t>
  </si>
  <si>
    <t>SER-POR-055</t>
  </si>
  <si>
    <t>Portão de grade colocado com cadeado</t>
  </si>
  <si>
    <t>Entrada refeitório</t>
  </si>
  <si>
    <t>Área - 1,60 x 0,80</t>
  </si>
  <si>
    <t>OBRA: REFORMA E.M. PROF. IONYR BASTOS DIAS</t>
  </si>
  <si>
    <t>17.11</t>
  </si>
  <si>
    <t>17.12</t>
  </si>
  <si>
    <t>17.13</t>
  </si>
  <si>
    <t>EQP-ESP-030</t>
  </si>
  <si>
    <t>Tabela de basquete em poste metálico e suporte de piso.</t>
  </si>
  <si>
    <t>EQP-ESP-005</t>
  </si>
  <si>
    <t>Trave de gol em tubo galvanizado para quadra, inclusive rede e pintura.</t>
  </si>
  <si>
    <t>EQP-ESP-015</t>
  </si>
  <si>
    <t xml:space="preserve">	Rede de vôlei com mastro e pedestal para juiz.</t>
  </si>
  <si>
    <t>17.14</t>
  </si>
  <si>
    <t xml:space="preserve"> SER-ALA-010</t>
  </si>
  <si>
    <t>Área levantada in loco - correspondente aos alambrados atrás do gol - comprimento x altura x duas vezes - 18,00 x 6,00 x 2,00</t>
  </si>
  <si>
    <t>Alambrado para quadra esportiva, com tela de arame galvanizado fio 12 # 2", fixado em quadros de tubos de aço carbono galvanizado dn 50mm (2").</t>
  </si>
  <si>
    <t>17.15</t>
  </si>
  <si>
    <t>Letras de aço inox 25x25 cm, "nome a definir".</t>
  </si>
  <si>
    <t>Quantidade - 21 unidade - E.M. PROFª. IONYR BASTOS DIAS</t>
  </si>
  <si>
    <t>Área de piso + 3 fiadas de alvenaria - 18,60 + ((3,10 + 3,10 + 6,00 + 6,00 + 1,40 + 1,40 + 1,10 + 1,10 + 1,10 + 1,10 + 2,00 + 2,00) x 0,60)</t>
  </si>
  <si>
    <t>Área de piso + 3 fiadas de alvenaria - 14,67 + ((3,10 + 6,00 + 6,00 + 3,10 + 2,40 + 1,10 + 1,10 + 1,40 + 1,40) x 0,60)</t>
  </si>
  <si>
    <t>Área de piso + 3 fiadas de alvenaria - 3,34 + ((1,50 + 2,23 + 1,50 + 2,23) x 0,60)</t>
  </si>
  <si>
    <t>Área de piso + 3 fiadas de alvenaria - 4,79 + ((2,85 + 1,68 + 2,85 + 1,68) x 0,60)</t>
  </si>
  <si>
    <t>Área de piso + 3 fiadas de alvenaria - 6,93 + ((3,15 + 2,20 + 3,15 + 2,20) x 0,60)</t>
  </si>
  <si>
    <t>Área de piso + 3 fiadas de alvenaria - 4,09 + ((3,15 + 1,20 + 3,15 + 1,20) x 0,60)</t>
  </si>
  <si>
    <t>Área de piso + 3 fiadas de alvenaria - 7,50 + ((2,50 + 3,00 + 2,50 + 3,00) x 0,60)</t>
  </si>
  <si>
    <t>Perimetro x altura de barramento (MENOS DESCONTO DE VÃO) - ((6,50 + 6,15 + 6,50 + 6,15) x 1,50) - ((0,80 x 1,50) + (6,00 x 0,50))</t>
  </si>
  <si>
    <t>Perimetro x altura de barramento (MENOS DESCONTO DE VÃO) - ((7,35 + 6,15 + 7,35 + 6,15) x 1,50) - ((0,80 x 1,50) + (6,00 x 0,50))</t>
  </si>
  <si>
    <t>Perimetro x altura de barramento (MENOS DESCONTO DE VÃO) - ((5,50 + 6,15 + 5,50 + 6,15) x 1,50) - ((0,80 x 1,50) + (3,00 x 0,50))</t>
  </si>
  <si>
    <t>Perimetro x altura de barramento (MENOS DESCONTO DE VÃO) - ((6,50 + 6,10 + 6,50 + 6,10) x 1,50) - ((0,80 x 1,50) + (6,00 x 0,50))</t>
  </si>
  <si>
    <t>Perimetro x altura de barramento (MENOS DESCONTO DE VÃO) - ((5,35 + 4,45 + 5,35 + 4,45) x 1,50) - ((0,80 x 1,50) + (4,30 x 0,50))</t>
  </si>
  <si>
    <t>Perimetro x altura de barramento (MENOS DESCONTO DE VÃO) - ((3,00 + 6,15 + 3,00 + 6,15) x 1,50) - ((1,00 x 1,50) + (2,90 x 0,50))</t>
  </si>
  <si>
    <t>Perimetro x altura de barramento (MENOS DESCONTO DE VÃO) - ((3,00 + 6,00 + 6,00 + 4,17 + 3,00 + 1,83 + 3,00) x 1,50) - ((0,80 x 1,50 x 3,00) + (2,80 x 0,50))</t>
  </si>
  <si>
    <t>Perimetro x altura de barramento (MENOS DESCONTO DE VÃO) - ((1,50 + 2,20 + 1,50 + 2,20) x 2,80) - (1,00 x 2,10)</t>
  </si>
  <si>
    <t>Perimetro x altura de barramento (MENOS DESCONTO DE VÃO) - ((2,85 + 1,70 + 2,85 + 1,70) x 2,80) - (0,80 x 2,10)</t>
  </si>
  <si>
    <t>Perimetro x altura de barramento (MENOS DESCONTO DE VÃO) - ((3,15 + 2,20 + 3,15 + 2,20) x 2,50) - ((0,80 x 2,10) + (1,00 x 0,50))</t>
  </si>
  <si>
    <t>Perimetro x altura de barramento (MENOS DESCONTO DE VÃO) - ((3,15 + 1,30 + 3,15 + 1,30) x 2,50) - ((0,80 x 2,10) + (1,00 x 0,50))</t>
  </si>
  <si>
    <t>Perimetro x altura de barramento (MENOS DESCONTO DE VÃO) - ((11,20 + 5,50 + 11,20 + 5,50) + 1,50) - ((0,80 x 2,10 x 8,00) + (1,00 x 2,30) + (3,65 x 1,20) + (1,00 x 0,50 x 2,00) + (3,00 x 1,20) + (1,93 x 1,45))</t>
  </si>
  <si>
    <t>Perimetro x altura de barramento (MENOS DESCONTO DE VÃO) - ((5,90  + 6,00 + 3,25 + 8,80 + 2,93) x 1,50) - ((0,80 x 1,50) + ((1,90 + 2,40) x 0,50))</t>
  </si>
  <si>
    <t>Perimetro x altura de barramento (MENOS DESCONTO DE VÃO) - ((6,00 + 5,05 + 6,00 + 5,05) x 1,50) - ((0,80 x 1,50 x 2,00) + (3,00 x 0,50))</t>
  </si>
  <si>
    <t>Perimetro x altura de barramento (MENOS DESCONTO DE VÃO) - ((8,35 + 5,40 + 8,35 + 5,40) x 1,50) - ((0,80 x 1,50 x 4,00) + (3,75 x 0,50))</t>
  </si>
  <si>
    <t>Perimetro x altura de barramento (MENOS DESCONTO DE VÃO) - ((27,60 + 4,45 + 27,60 + 6,15 + 2,85 + 6,15) x 1,50) - ((0,80 x 1,50 x 12,00) + (1,00 x 1,50))</t>
  </si>
  <si>
    <t>Perimetro x altura de barramento (MENOS DESCONTO DE VÃO) - ((10,60 + 9,15 + 6,15 + 6,30) x 1,50) - ((0,80 x 1,50 x 4,00) + (1,00 x 1,50) + ((2,80 + 2,70) x 0,50))</t>
  </si>
  <si>
    <t>Perimetro x altura de barramento (MENOS DESCONTO DE VÃO) - ((54,50 + 4,80 + 12,75 + 4,80 + 12,75) x 1,50) - ((0,80 x 1,50 x 6,00) + (3,00 x 0,50 x 12,00) + (2,00 x 0,50 x 4,00))</t>
  </si>
  <si>
    <t>Perimetro x altura de barramento (MENOS DESCONTO DE VÃO) - ((5,40 + 4,80 + 8,30 + 2,75 + 2,50) x 2,80) - ((3,00 x 1,00) + (0,80 x 2,10 x 2,00) + ((1,70 + 2,15) x 1,45))</t>
  </si>
  <si>
    <t>Perimetro x altura de barramento (MENOS DESCONTO DE VÃO) - ((2,50 + 3,35 + 1,80 + 1,15 + 0,70 + 2,25) x 2,50) - ((0,80 x 2,10) + (1,00 x 0,50))</t>
  </si>
  <si>
    <t>Perimetro x altura de barramento (MENOS DESCONTO DE VÃO) - ((2,10 + 1,00 + 0,70 + 0,90 + 1,40 + 1,90) x 2,50) - ((0,80 x 2,10) + (1,00 x 0,50))</t>
  </si>
  <si>
    <t>Perimetro x altura de barramento (MENOS DESCONTO DE VÃO) - ((2,05 + 1,80 + 1,45) x 2,50) - ((0,80 x 2,10) + (1,00 x 0,50))</t>
  </si>
  <si>
    <t>Perimetro x altura de barramento (MENOS DESCONTO DE VÃO) - ((2,10 + 1,40 + 1,90) x 2,50) - ((0,80 x 2,10) + (1,00 x 0,50))</t>
  </si>
  <si>
    <t>Perimetro x altura de barramento (MENOS DESCONTO DE VÃO) - ((1,90 + 1,45) x 2,50) - (0,80 x 2,10)</t>
  </si>
  <si>
    <t>Perimetro x altura de barramento (MENOS DESCONTO DE VÃO) - ((3,55 + 3,00 + 3,55) x 2,50) - ((1,00 x 0,50 x 2,00)</t>
  </si>
  <si>
    <t>Perimetro x altura de barramento (MENOS DESCONTO DE VÃO) - ((3,55 + 3,00 + 3,55 + 3,00) x 2,50) - ((0,80 x 2,10) + (1,00 x 0,50 x 2,00))</t>
  </si>
  <si>
    <t>Perimetro x altura de barramento (MENOS DESCONTO DE VÃO) - ((1,90 + 1,45 + 1,90 + 1,45) x 2,50) - ((0,80 x 2,10) + (1,90 x 2,00))</t>
  </si>
  <si>
    <t>Perimetro x altura de barramento (MENOS DESCONTO DE VÃO) - (((6,00 + 3,10 + 6,00 + 3,10) x 2,80) + ((4,90 + 4,90 + 1,40 + 1,10 + 1,10 + 1,10 + 1,10 + 2,00 + 2,00) x 1,90)) - ((0,80 + 0,60 + 0,60 + 0,60 + 1,00) x 2,80)</t>
  </si>
  <si>
    <t>Perimetro x altura de barramento (MENOS DESCONTO DE VÃO) - (((6,00 + 3,10 + 3,62 + 1,65 + 2,38) x 2,80) + (((3,62 + 3,62 + 1,35 + 1,35 + 1,10 + 1,10 + 1,45) x 1,90)) - ((0,80 + 0,60 + 0,60 + 1,00) x 2,80)</t>
  </si>
  <si>
    <t>Perimetro x altura de barramento (MENOS DESCONTO DE VÃO) - (((3,00 + 2,50 + 3,00 + 2,50) x 2,50) + (0,93 x 2,00 x 2,00) + (1,00 x 0,78)) - ((0,80 x 2,10) + (1,40 x 0,40))</t>
  </si>
  <si>
    <t>Perimetro x altura de barramento (MENOS DESCONTO DE VÃO) - ((3,00 + 2,50 + 3,00 + 2,50) x 2,50) - ((0,80 x 2,10) + (1,40 x 0,40))</t>
  </si>
  <si>
    <t>Nova Área de banho</t>
  </si>
  <si>
    <t>Nova Copa Berçário 01</t>
  </si>
  <si>
    <t>Perimetro x altura de barramento (MENOS DESCONTO DE VÃO) - ((2,00 + 3,00 + 2,00 + 3,00) x 2,80) - ((0,80 x 2,10) + (1,93 x 1,30))</t>
  </si>
  <si>
    <t>Perimetro x altura de barramento (MENOS DESCONTO DE VÃO) - ((2,75 + 14,05 + 3,26 + 11,82 + 5,84) x 1,50) - (((1,90 + 3,00 + 3,75 + 1,93) x 0,50) + (0,80 x 2,10))</t>
  </si>
  <si>
    <t>Fundos</t>
  </si>
  <si>
    <t>Perimetro x altura de barramento (MENOS DESCONTO DE VÃO) - ((11,85 + 3,15 + 48,80 + 17,05) x 1,50) - (((4,33 + (3,00 x 9,00) + 2,80 + 2,70 + 1,90) x 0,50) + (0,80 x 2,10))</t>
  </si>
  <si>
    <t>Nova área de banho</t>
  </si>
  <si>
    <t>Área - (0,93 x 2,00)</t>
  </si>
  <si>
    <t>Área - (3,00 x 2,80 x 2,00) - (0,80 x 2,10)</t>
  </si>
  <si>
    <t>Área - ((2,05 x 1,10) + (1,60 x 2,80)) x 2,00</t>
  </si>
  <si>
    <t>Área - (1,15 + 0,55 + 0,90 + 2,65 + 1,30) x 2,80 x 2,00</t>
  </si>
  <si>
    <t>Área - (0,93 x 2,00 x 2,00)</t>
  </si>
  <si>
    <t>Supervisão</t>
  </si>
  <si>
    <t>Secretaria</t>
  </si>
  <si>
    <t>Depósito ADM</t>
  </si>
  <si>
    <t>Circulação ADM</t>
  </si>
  <si>
    <t>Perimetro x altura de barramento (MENOS DESCONTO DE VÃO) - ((4,50 + 3,25 + 4,50 + 3,25) x 1,50) - ((0,80 x 1,50) + (2,00 x 0,50))</t>
  </si>
  <si>
    <t>Perimetro x altura de barramento (MENOS DESCONTO DE VÃO) - ((2,30 + 3,25 + 2,50 + 3,25) x 1,50) - ((0,80 x 1,50) + (2,00 x 0,50))</t>
  </si>
  <si>
    <t>Perimetro x altura de barramento (MENOS DESCONTO DE VÃO) - ((5,15 + 2,95 + 2,15 + 0,15 + 3,00 + 3,25) x 1,50) - ((0,80 x 1,50) + (2,00 x 0,50 x 2,00))</t>
  </si>
  <si>
    <t>Perimetro x altura de barramento (MENOS DESCONTO DE VÃO) - ((6,40 + 1,10 + 6,40 + 1,10) x 1,50) - (0,80 x 1,50 x 6,00)</t>
  </si>
  <si>
    <t>Perimetro x altura de barramento (MENOS DESCONTO DE VÃO) - ((1,40 + 2,50 + 1,40 + 2,50) x 1,50) - (0,80 x 1,50)</t>
  </si>
  <si>
    <t>Vestiário</t>
  </si>
  <si>
    <t>Perimetro x altura (MENOS DESCONTO DE VÃO) - ((6,50 + 6,15 + 6,50 + 6,15) x 2,80) - ((0,80 x 2,10) + (6,00 x 1,30))</t>
  </si>
  <si>
    <t>Perimetro x altura (MENOS DESCONTO DE VÃO) - ((7,35 + 6,15 + 7,35 + 6,15) x 2,80) - ((0,80 x 2,10) + (6,00 x 1,30))</t>
  </si>
  <si>
    <t>Perimetro x altura (MENOS DESCONTO DE VÃO) - ((5,50 + 6,15 + 5,50 + 6,15) x 2,80) - ((0,80 x 2,10) + (3,00 x 1,30))</t>
  </si>
  <si>
    <t>Perimetro x altura (MENOS DESCONTO DE VÃO) - ((6,50 + 6,10 + 6,50 + 6,10) x 2,80) - ((0,80 x 2,10) + (6,00 x 1,30))</t>
  </si>
  <si>
    <t>Perimetro x altura (MENOS DESCONTO DE VÃO) - ((5,35 + 4,45 + 5,35 + 4,45) x 2,80) - ((0,80 x 2,10) + (4,30 x 1,30))</t>
  </si>
  <si>
    <t>Perimetro x altura (MENOS DESCONTO DE VÃO) - ((3,00 + 6,15 + 3,00 + 6,15) x 2,80) - ((1,00 x 2,10) + (2,90 x 1,30))</t>
  </si>
  <si>
    <t>Perimetro x altura (MENOS DESCONTO DE VÃO) - ((3,00 + 6,00 + 6,00 + 4,17 + 3,00 + 1,83 + 3,00) x 2,80) - ((0,80 x 2,10 x 3,00) + (2,80 x 1,30))</t>
  </si>
  <si>
    <t>Perimetro x altura (MENOS DESCONTO DE VÃO) - ((6,15 + 6,15 + 5,05 + 5,05) x 2,80) + ((0,80 x 2,10 x 2,00) + (3,00 x 1,20 x 2,00))</t>
  </si>
  <si>
    <t>Perimetro x altura (MENOS DESCONTO DE VÃO) - ((11,20 + 5,50 + 11,20 + 5,50) + 2,80) - ((0,80 x 2,10 x 8,00) + (1,00 x 2,30) + (3,65 x 1,20) + (1,00 x 0,50 x 2,00) + (3,00 x 1,20) + (1,93 x 1,45))</t>
  </si>
  <si>
    <t>Perimetro x altura (MENOS DESCONTO DE VÃO) - ((5,90  + 6,00 + 3,25 + 8,80 + 2,93) x 2,80) - ((0,80 x 2,10) + ((1,90 + 2,40) x 1,30))</t>
  </si>
  <si>
    <t>Perimetro x altura (MENOS DESCONTO DE VÃO) - ((6,00 + 5,05 + 6,00 + 5,05) x 2,80) - ((0,80 x 2,10 x 2,00) + (3,00 x 1,30))</t>
  </si>
  <si>
    <t>Perimetro x altura (MENOS DESCONTO DE VÃO) - ((8,35 + 5,40 + 8,35 + 5,40) x 2,80) - ((0,80 x 2,10 x 4,00) + (3,75 x 1,30))</t>
  </si>
  <si>
    <t>Perimetro x altura (MENOS DESCONTO DE VÃO) - ((27,60 + 4,45 + 27,60 + 6,15 + 2,85 + 6,15) x 2,80) - ((0,80 x 2,10 x 12,00) + (1,00 x 2,10))</t>
  </si>
  <si>
    <t>Perimetro x altura (MENOS DESCONTO DE VÃO) - ((10,60 + 9,15 + 6,15 + 6,30) x 2,80) - ((0,80 x 2,10 x 4,00) + (1,00 x 2,10) + ((2,80 + 2,70) x 1,30))</t>
  </si>
  <si>
    <t>Perimetro x altura (MENOS DESCONTO DE VÃO) - ((4,50 + 3,25 + 4,50 + 3,25) x 2,80) - ((0,80 x 2,10) + (2,00 x 1,30))</t>
  </si>
  <si>
    <t>Perimetro x altura (MENOS DESCONTO DE VÃO) - ((2,30 + 3,25 + 2,50 + 3,25) x 2,80) - ((0,80 x 2,10) + (2,00 x 1,30))</t>
  </si>
  <si>
    <t>Perimetro x altura (MENOS DESCONTO DE VÃO) - ((5,15 + 2,95 + 2,15 + 0,15 + 3,00 + 3,25) x 2,80) - ((0,80 x 2,10) + (2,00 x 1,30 x 2,00))</t>
  </si>
  <si>
    <t>Perimetro x altura (MENOS DESCONTO DE VÃO) - ((1,40 + 2,50 + 1,40 + 2,50) x 2,80) - (0,80 x 2,10)</t>
  </si>
  <si>
    <t>Perimetro x altura (MENOS DESCONTO DE VÃO) - ((6,40 + 1,10 + 6,40 + 1,10) x 2,80) - (0,80 x 2,10 x 6,00)</t>
  </si>
  <si>
    <t>Perimetro x altura (MENOS DESCONTO DE VÃO) - ((54,50 + 4,80 + 12,75 + 4,80 + 12,75) x 2,80) - ((0,80 x 2,10 x 6,00) + (3,00 x 1,30 x 12,00) + (2,00 x 1,30 x 4,00))</t>
  </si>
  <si>
    <t>Perimetro x altura (MENOS DESCONTO DE VÃO) - ((2,75 + 14,05 + 3,26 + 11,82 + 5,84) x 2,80) - (((1,90 + 3,00 + 3,75 + 1,93) x 1,30) + (0,80 x 2,10))</t>
  </si>
  <si>
    <t>Perimetro x altura (MENOS DESCONTO DE VÃO) - ((33,00 + 18,00 + 33,00 + 18,00) x 0,90 x 2,00) - (1,00 x 0,90 x 2,00)</t>
  </si>
  <si>
    <t>Perimetro x altura (MENOS DESCONTO DE VÃO) - ((11,85 + 3,15 + 48,80 + 17,05) x 2,80) - (((4,33 + (3,00 x 9,00) + 2,80 + 2,70 + 1,90) x 1,30) + (0,80 x 2,10))</t>
  </si>
  <si>
    <t>Perimetro x altura (MENOS DESCONTO DE VÃO) - ((4,00 x 4,00) x 2,50)</t>
  </si>
  <si>
    <t>Perimetro x altura (MENOS DESCONTO DE VÃO) - ((6,50 + 6,15 + 6,50 + 6,15) x 1,30) - ((0,80 x 0,60) + (6,00 x 0,80))</t>
  </si>
  <si>
    <t>Perimetro x altura (MENOS DESCONTO DE VÃO) - ((7,35 + 6,15 + 7,35 + 6,15) x 1,30) - ((0,80 x 0,60) + (6,00 x 0,80))</t>
  </si>
  <si>
    <t>Perimetro x altura (MENOS DESCONTO DE VÃO) - ((5,50 + 6,15 + 5,50 + 6,15) x 1,30) - ((0,80 x 0,60) + (3,00 x 0,80))</t>
  </si>
  <si>
    <t>Perimetro x altura (MENOS DESCONTO DE VÃO) - ((6,50 + 6,10 + 6,50 + 6,10) x 1,30) - ((0,80 x 0,60) + (6,00 x 0,80))</t>
  </si>
  <si>
    <t>Perimetro x altura (MENOS DESCONTO DE VÃO) - ((5,35 + 4,45 + 5,35 + 4,45) x 1,30) - ((0,80 x 0,60) + (4,30 x 0,80))</t>
  </si>
  <si>
    <t>Perimetro x altura (MENOS DESCONTO DE VÃO) - ((3,00 + 6,15 + 3,00 + 6,15) x 1,30) - ((1,00 x 0,60) + (2,90 x 0,80))</t>
  </si>
  <si>
    <t>Perimetro x altura (MENOS DESCONTO DE VÃO) - ((3,00 + 6,00 + 6,00 + 4,17 + 3,00 + 1,83 + 3,00) x 1,30) - ((0,80 x 0,60 x 3,00) + (2,80 x 0,80))</t>
  </si>
  <si>
    <t>Perimetro x altura (MENOS DESCONTO DE VÃO) - ((6,15 + 6,15 + 5,05 + 5,05) x 1,30) + ((0,80 x 0,60 x 2,00) + (3,00 x 0,70 x 2,00))</t>
  </si>
  <si>
    <t>Perimetro x altura (MENOS DESCONTO DE VÃO) - ((11,20 + 5,50 + 11,20 + 5,50) + 1,30) - ((0,80 x 0,60 x 8,00) + (1,00 x 2,30) + (3,65 x 0,70) + (1,00 x 0,50 x 2,00) + (3,00 x 0,70) + (1,93 x 1,45))</t>
  </si>
  <si>
    <t>Perimetro x altura (MENOS DESCONTO DE VÃO) - ((5,90  + 6,00 + 3,25 + 8,80 + 2,93) x 1,30) - ((0,80 x 0,60) + ((1,90 + 2,40) x 0,80))</t>
  </si>
  <si>
    <t>Perimetro x altura (MENOS DESCONTO DE VÃO) - ((6,00 + 5,05 + 6,00 + 5,05) x 1,30) - ((0,80 x 0,60 x 2,00) + (3,00 x 0,80))</t>
  </si>
  <si>
    <t>Perimetro x altura (MENOS DESCONTO DE VÃO) - ((8,35 + 5,40 + 8,35 + 5,40) x 1,30) - ((0,80 x 0,60 x 4,00) + (3,75 x 0,80))</t>
  </si>
  <si>
    <t>Perimetro x altura (MENOS DESCONTO DE VÃO) - ((27,60 + 4,45 + 27,60 + 6,15 + 2,85 + 6,15) x 1,30) - ((0,80 x 0,60 x 12,00) + (1,00 x 0,60))</t>
  </si>
  <si>
    <t>Perimetro x altura (MENOS DESCONTO DE VÃO) - ((10,60 + 9,15 + 6,15 + 6,30) x 1,30) - ((0,80 x 0,60 x 4,00) + (1,00 x 0,60) + ((2,80 + 2,70) x 0,80))</t>
  </si>
  <si>
    <t>Perimetro x altura (MENOS DESCONTO DE VÃO) - ((4,50 + 3,25 + 4,50 + 3,25) x 1,30) - ((0,80 x 0,60) + (2,00 x 0,80))</t>
  </si>
  <si>
    <t>Perimetro x altura (MENOS DESCONTO DE VÃO) - ((2,30 + 3,25 + 2,50 + 3,25) x 1,30) - ((0,80 x 0,60) + (2,00 x 0,80))</t>
  </si>
  <si>
    <t>Perimetro x altura (MENOS DESCONTO DE VÃO) - ((5,15 + 2,95 + 2,15 + 0,15 + 3,00 + 3,25) x 1,30) - ((0,80 x 0,60) + (2,00 x 0,80 x 2,00))</t>
  </si>
  <si>
    <t>Perimetro x altura (MENOS DESCONTO DE VÃO) - ((1,40 + 2,50 + 1,40 + 2,50) x 1,30) - (0,80 x 0,60)</t>
  </si>
  <si>
    <t>Perimetro x altura (MENOS DESCONTO DE VÃO) - ((6,40 + 1,10 + 6,40 + 1,10) x 1,30) - (0,80 x 0,60 x 6,00)</t>
  </si>
  <si>
    <t>Perimetro x altura (MENOS DESCONTO DE VÃO) - ((54,50 + 4,80 + 12,75 + 4,80 + 12,75) x 1,30) - ((0,80 x 0,60 x 6,00) + (3,00 x 0,80 x 12,00) + (2,00 x 0,80 x 4,00))</t>
  </si>
  <si>
    <t>Perimetro x altura (MENOS DESCONTO DE VÃO) - ((2,75 + 14,05 + 3,26 + 11,82 + 5,84) x 1,30) - (((1,90 + 3,00 + 3,75 + 1,93) x 0,80) + (0,80 x 0,60))</t>
  </si>
  <si>
    <t>Perimetro x altura (MENOS DESCONTO DE VÃO) - ((11,85 + 3,15 + 48,80 + 17,05) x 1,30) - (((4,33 + (3,00 x 9,00) + 2,80 + 2,70 + 1,90) x 0,80) + (0,80 x 0,60))</t>
  </si>
  <si>
    <t>Despesna Seca</t>
  </si>
  <si>
    <t>Ban. Funcionários</t>
  </si>
  <si>
    <t>Área teto retirada em projeto</t>
  </si>
  <si>
    <t>Área x dois lados - 0,80 x 2,10 x 2,00</t>
  </si>
  <si>
    <t>Área x dois lados - 1,00 x 2,10 x 2,00</t>
  </si>
  <si>
    <t>Área x dois lados - 0,80 x 2,10 x 2,00 x 2,00</t>
  </si>
  <si>
    <t>Área grade janela x dois lado - 6,00 x 1,50 x 2,00</t>
  </si>
  <si>
    <t>Área grade janela x dois lado - 3,00 x 1,50 x 2,00</t>
  </si>
  <si>
    <t>Área grade porta x dois lado - 0,80 x 2,10 x 2,00</t>
  </si>
  <si>
    <t>Área grade janela x dois lado - 3,60 x 1,50 x 2,00</t>
  </si>
  <si>
    <t>Área grade janela x dois lado - (2,40 + 1,90) x 1,50 x 2,00</t>
  </si>
  <si>
    <t>Área grade janela x dois lado - 3,80 x 1,50 x 2,00</t>
  </si>
  <si>
    <t>Área porta x dois lado - 0,80 x 2,10 x 2,00</t>
  </si>
  <si>
    <t>Área grade janela x dois lado - (2,70 + 2,80) x 1,50 x 2,00</t>
  </si>
  <si>
    <t>Área porta x dois lado - (1,60 + 0,80) x 2,10 x 2,00</t>
  </si>
  <si>
    <t>Área grade janela x dois lado - 1,40 x 0,50 x 2,00</t>
  </si>
  <si>
    <t>Área grade janela x dois lado - 2,00 x 1,50 x 2,00</t>
  </si>
  <si>
    <t>Área portão x dois lado - 1,50 x 2,00 x 2,00</t>
  </si>
  <si>
    <t>Área grade janela x dois lado - 3,00 x 1,20 x 2,00</t>
  </si>
  <si>
    <t>Área gradil mureta x dois lado - 1,70 x 1,45 x 2,00</t>
  </si>
  <si>
    <t>Área grade janela x dois lado - 1,00 x 0,50 x 2,00</t>
  </si>
  <si>
    <t>Área gradil mureta x dois lado - 1,90 x 1,00 x 2,00</t>
  </si>
  <si>
    <t>Parque dos fundos</t>
  </si>
  <si>
    <t>Área gradil mureta x dois lado - 10,50 x 1,00 x 2,00</t>
  </si>
  <si>
    <t>Área grade janela x dois lado - 2,00 x 1,50 x 2,00 x 2,00</t>
  </si>
  <si>
    <t>Corredor entre escola e Administrativo - Gradil - 2,00 x 2,00 x 2,00 x 2,00</t>
  </si>
  <si>
    <t>Entrada</t>
  </si>
  <si>
    <t>Área portão de entrada x dois lado - 6,00 x 2,50 x 2,00</t>
  </si>
  <si>
    <t>Chapisco aplicado em alvenarias e estruturas de concreto internas, com colher de pedreiro.  Argamassa traço 1:3 com preparo manual.</t>
  </si>
  <si>
    <t>Perimetro x altura de barramento (MENOS DESCONTO DE VÃO) - ((6,50 + 6,15 + 6,50 + 6,15) x 0,10) - ((0,80 x 0,10) + (6,00 x 0,10))</t>
  </si>
  <si>
    <t>Perimetro x altura de barramento (MENOS DESCONTO DE VÃO) - ((7,35 + 6,15 + 7,35 + 6,15) x 0,10) - ((0,80 x 0,10) + (6,00 x 0,10))</t>
  </si>
  <si>
    <t>Perimetro x altura de barramento (MENOS DESCONTO DE VÃO) - ((5,50 + 6,15 + 5,50 + 6,15) x 0,10) - ((0,80 x 0,10) + (3,00 x 0,10))</t>
  </si>
  <si>
    <t>Perimetro x altura de barramento (MENOS DESCONTO DE VÃO) - ((6,50 + 6,10 + 6,50 + 6,10) x 0,10) - ((0,80 x 0,10) + (6,00 x 0,10))</t>
  </si>
  <si>
    <t>Perimetro x altura de barramento (MENOS DESCONTO DE VÃO) - ((5,35 + 4,45 + 5,35 + 4,45) x 0,10) - ((0,80 x 0,10) + (4,30 x 0,10))</t>
  </si>
  <si>
    <t>Perimetro x altura de barramento (MENOS DESCONTO DE VÃO) - ((3,00 + 6,15 + 3,00 + 6,15) x 0,10) - ((1,00 x 0,10) + (2,90 x 0,10))</t>
  </si>
  <si>
    <t>Perimetro x altura de barramento (MENOS DESCONTO DE VÃO) - ((3,00 + 6,00 + 6,00 + 4,17 + 3,00 + 1,83 + 3,00) x 0,10) - ((0,80 x 0,10 x 3,00) + (2,80 x 0,10))</t>
  </si>
  <si>
    <t>Perimetro x altura de barramento (MENOS DESCONTO DE VÃO) - ((6,15 + 6,15 + 5,05 + 5,05) x 0,10) + ((0,80 x 0,10 x 2,00) + (3,00 x 0,10 x 2,00))</t>
  </si>
  <si>
    <t>Perimetro x altura de barramento (MENOS DESCONTO DE VÃO) - ((11,20 + 5,50 + 11,20 + 5,50) x 0,10) - ((0,80 x 0,10 x 8,00) + (1,00 x 0,10) + (3,65 x 0,10) + (1,00 x 0,10 x 2,00) + (3,00 x 0,10) + (1,93 x 0,10))</t>
  </si>
  <si>
    <t>Perimetro x altura de barramento (MENOS DESCONTO DE VÃO) - ((5,90  + 6,00 + 3,25 + 8,80 + 2,93) x 0,10) - ((0,80 x 0,10) + ((1,90 + 2,40) x 0,10))</t>
  </si>
  <si>
    <t>Perimetro x altura de barramento (MENOS DESCONTO DE VÃO) - ((6,00 + 5,05 + 6,00 + 5,05) x 0,10) - ((0,80 x 0,10 x 2,00) + (3,00 x 0,10))</t>
  </si>
  <si>
    <t>Perimetro x altura de barramento (MENOS DESCONTO DE VÃO) - ((8,35 + 5,40 + 8,35 + 5,40) x 0,10) - ((0,80 x 0,10 x 4,00) + (3,75 x 0,10))</t>
  </si>
  <si>
    <t>Perimetro x altura de barramento (MENOS DESCONTO DE VÃO) - ((27,60 + 4,45 + 27,60 + 6,15 + 2,85 + 6,15) x 0,10) - ((0,80 x 0,10 x 12,00) + (1,00 x 0,10))</t>
  </si>
  <si>
    <t>Perimetro x altura de barramento (MENOS DESCONTO DE VÃO) - ((10,60 + 9,15 + 6,15 + 6,30) x 0,10) - ((0,80 x 0,10 x 4,00) + (1,00 x 0,10) + ((2,80 + 2,70) x 0,10))</t>
  </si>
  <si>
    <t>Perimetro x altura de barramento (MENOS DESCONTO DE VÃO) - ((4,50 + 3,25 + 4,50 + 3,25) x 0,10) - ((0,80 x 0,10) + (2,00 x 0,10))</t>
  </si>
  <si>
    <t>Perimetro x altura de barramento (MENOS DESCONTO DE VÃO) - ((2,30 + 3,25 + 2,50 + 3,25) x 0,10) - ((0,80 x 0,10) + (2,00 x 0,10))</t>
  </si>
  <si>
    <t>Perimetro x altura de barramento (MENOS DESCONTO DE VÃO) - ((5,15 + 2,95 + 2,15 + 0,15 + 3,00 + 3,25) x 0,10) - ((0,80 x 0,10) + (2,00 x 0,10 x 2,00))</t>
  </si>
  <si>
    <t>Perimetro x altura de barramento (MENOS DESCONTO DE VÃO) - ((1,40 + 2,50 + 1,40 + 2,50) x 0,10) - (0,80 x 0,10)</t>
  </si>
  <si>
    <t>Perimetro x altura de barramento (MENOS DESCONTO DE VÃO) - ((6,40 + 1,10 + 6,40 + 1,10) x 0,10) - (0,80 x 0,10 x 6,00)</t>
  </si>
  <si>
    <t>Perimetro x altura - ((7,72 + 43,67 + 57,49 + 14,27 + 39,77 + 37,32 + 3,37 + 11,97 + 15,03 + 21,26 + 21,67) x 2,20 x 2,00)</t>
  </si>
  <si>
    <t>6.4.3</t>
  </si>
  <si>
    <t>Fornecimento e assentamento cj depuxador tipo punho redondo, central, em latao cromado, comprimento de *110* mm, para janelas - inclui parafuso</t>
  </si>
  <si>
    <t>Quantidade levantada in loco</t>
  </si>
  <si>
    <t>Caixa enterrada hidráulica retangular, em alvenaria com blocos de concreto, dimensões internas: 0,80x0,80x0,60 m para rede de drenagem.</t>
  </si>
  <si>
    <t>Área levantada em projeto - 205,00 m²</t>
  </si>
  <si>
    <t>Área - (1,40 x 0,50 x 10,00)</t>
  </si>
  <si>
    <t>Área - 2,05 x 0,15</t>
  </si>
  <si>
    <t>Área - 1,40 x 0,15</t>
  </si>
  <si>
    <t>Área - 1,95 x 0,15</t>
  </si>
  <si>
    <t>Área - 1,90 x 1,00</t>
  </si>
  <si>
    <t>Passa prato p/ Creche</t>
  </si>
  <si>
    <t>Área - 2,00 x 1,20</t>
  </si>
  <si>
    <t>Passa prato p/ Escola</t>
  </si>
  <si>
    <t>Área - (1,00 x 1,20) + (1,00 x 1,00)</t>
  </si>
  <si>
    <t>Corredor Lavanderia</t>
  </si>
  <si>
    <t>PIN-ZAR-006</t>
  </si>
  <si>
    <t>Pintura anticorrosiva a base de oxido de ferro (zarcão) em esquadria e superfície metálica, uma (1) demão</t>
  </si>
  <si>
    <t>Cobertura ADM</t>
  </si>
  <si>
    <t>Área levantada in loco</t>
  </si>
  <si>
    <t>Área - 2,50 x 0,60</t>
  </si>
  <si>
    <t>Área - 0,79 x 0,55</t>
  </si>
  <si>
    <t>Sala de informática</t>
  </si>
  <si>
    <t>Área - (4,90 + 2,55) x 0,60</t>
  </si>
  <si>
    <t>Área de passa prato Creche - 2,00 x 0,80</t>
  </si>
  <si>
    <t>Área de passa prato Escola - 2,00 x 0,80</t>
  </si>
  <si>
    <t>Área - ((3,00 + 2,55 + 1,05 + 1,05 + 0,40) x 0,60) + (1,20 x 0,80)</t>
  </si>
  <si>
    <t>Área - (1,35 x 0,68) + (0,55 x 0,79)</t>
  </si>
  <si>
    <t>COMP. 04</t>
  </si>
  <si>
    <r>
      <t>Descrição:</t>
    </r>
    <r>
      <rPr>
        <sz val="10"/>
        <color theme="1"/>
        <rFont val="Arial"/>
        <family val="2"/>
      </rPr>
      <t xml:space="preserve"> FORNECIMENTO E ASSENTAMENTO DE PUXADOR TIPO PUNHO REDONDO, CENTRAL, EM LATAO CROMADO, COMPRIMENTO DE *110* MM, PARA JANELAS - INCLUI PARAFUSO</t>
    </r>
  </si>
  <si>
    <t>PUXADOR TIPO PUNHO REDONDO, CENTRAL, EM LATAO CROMADO, COMPRIMENTO DE *110* MM, PARA JANELAS - INCLUI PARAFUSOS</t>
  </si>
  <si>
    <t>UM</t>
  </si>
  <si>
    <t>CARPINTEIRO DE ESQUADRIAS</t>
  </si>
  <si>
    <t xml:space="preserve">Fonte de Preço: SINAPI SET 2019 </t>
  </si>
  <si>
    <t>Fonte de Coeficientes: SEINFRA TABELA 026.1</t>
  </si>
  <si>
    <t>COMP.07</t>
  </si>
  <si>
    <t>COMP.01</t>
  </si>
  <si>
    <t>Área - (1,50 x 0,30 x 5,00) + (1,25 x 0,50 x 5,00)</t>
  </si>
  <si>
    <t>ENDEREÇO: AV. SANTA CATARINA, 75 - VALE VERDE, MURIAÉ -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</si>
</sst>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_);_(@_)"/>
    <numFmt numFmtId="165" formatCode="_-* #,##0.00_-;\-* #,##0.00_-;_-* \-??_-;_-@_-"/>
    <numFmt numFmtId="166" formatCode="&quot;R$ &quot;#,##0.00"/>
    <numFmt numFmtId="167" formatCode="_-&quot;R$ &quot;* #,##0.00_-;&quot;-R$ &quot;* #,##0.00_-;_-&quot;R$ &quot;* \-??_-;_-@_-"/>
    <numFmt numFmtId="168" formatCode="0.0000"/>
    <numFmt numFmtId="169" formatCode="&quot;R$&quot;\ #,##0.00"/>
    <numFmt numFmtId="170" formatCode="_(&quot;R$ &quot;* #,##0.00_);_(&quot;R$ &quot;* \(#,##0.00\);_(&quot;R$ &quot;* &quot;-&quot;??_);_(@_)"/>
    <numFmt numFmtId="171" formatCode="#,##0.00&quot; &quot;;&quot; (&quot;#,##0.00&quot;)&quot;;&quot; -&quot;#&quot; &quot;;@&quot; &quot;"/>
    <numFmt numFmtId="172" formatCode="#,##0.00&quot; &quot;;&quot;-&quot;#,##0.00&quot; &quot;;&quot; -&quot;#&quot; &quot;;@&quot; &quot;"/>
    <numFmt numFmtId="173" formatCode="[$R$-416]&quot; &quot;#,##0.00;[Red]&quot;-&quot;[$R$-416]&quot; &quot;#,##0.00"/>
  </numFmts>
  <fonts count="36">
    <font>
      <sz val="11"/>
      <color rgb="FF000000"/>
      <name val="Arial"/>
      <family val="2"/>
      <charset val="1"/>
    </font>
    <font>
      <sz val="11"/>
      <color theme="1"/>
      <name val="Calibri"/>
      <family val="2"/>
      <scheme val="minor"/>
    </font>
    <font>
      <b/>
      <sz val="10"/>
      <color rgb="FF000000"/>
      <name val="Arial"/>
      <family val="2"/>
      <charset val="1"/>
    </font>
    <font>
      <sz val="10"/>
      <name val="Arial"/>
      <family val="2"/>
      <charset val="1"/>
    </font>
    <font>
      <sz val="11"/>
      <color rgb="FF000000"/>
      <name val="Calibri"/>
      <family val="2"/>
      <charset val="1"/>
    </font>
    <font>
      <b/>
      <sz val="10"/>
      <name val="Arial"/>
      <family val="2"/>
      <charset val="1"/>
    </font>
    <font>
      <sz val="10"/>
      <color rgb="FF00B050"/>
      <name val="Arial"/>
      <family val="2"/>
      <charset val="1"/>
    </font>
    <font>
      <sz val="10"/>
      <color rgb="FF000000"/>
      <name val="Arial"/>
      <family val="2"/>
      <charset val="1"/>
    </font>
    <font>
      <sz val="10"/>
      <color rgb="FF00B0F0"/>
      <name val="Arial"/>
      <family val="2"/>
      <charset val="1"/>
    </font>
    <font>
      <sz val="12"/>
      <name val="Arial"/>
      <family val="2"/>
      <charset val="1"/>
    </font>
    <font>
      <b/>
      <sz val="11"/>
      <color rgb="FF000000"/>
      <name val="Arial"/>
      <family val="2"/>
      <charset val="1"/>
    </font>
    <font>
      <sz val="11"/>
      <color rgb="FF000000"/>
      <name val="Times New Roman"/>
      <family val="1"/>
      <charset val="1"/>
    </font>
    <font>
      <sz val="11"/>
      <color rgb="FF000000"/>
      <name val="Arial"/>
      <family val="2"/>
      <charset val="1"/>
    </font>
    <font>
      <sz val="10"/>
      <color rgb="FF000000"/>
      <name val="Arial"/>
      <family val="2"/>
    </font>
    <font>
      <b/>
      <sz val="10"/>
      <color rgb="FF000000"/>
      <name val="Arial"/>
      <family val="2"/>
    </font>
    <font>
      <sz val="8"/>
      <name val="Arial"/>
      <family val="2"/>
      <charset val="1"/>
    </font>
    <font>
      <sz val="10"/>
      <name val="Arial"/>
      <family val="2"/>
    </font>
    <font>
      <b/>
      <sz val="10"/>
      <name val="Arial"/>
      <family val="2"/>
    </font>
    <font>
      <b/>
      <sz val="11"/>
      <name val="Arial"/>
      <family val="2"/>
    </font>
    <font>
      <b/>
      <sz val="11"/>
      <color rgb="FF000000"/>
      <name val="Arial"/>
      <family val="2"/>
    </font>
    <font>
      <u/>
      <sz val="11"/>
      <color rgb="FF000000"/>
      <name val="Times New Roman"/>
      <family val="1"/>
      <charset val="1"/>
    </font>
    <font>
      <b/>
      <sz val="14"/>
      <name val="Arial"/>
      <family val="2"/>
      <charset val="1"/>
    </font>
    <font>
      <b/>
      <sz val="12"/>
      <color rgb="FF000000"/>
      <name val="Arial"/>
      <family val="2"/>
    </font>
    <font>
      <sz val="12"/>
      <color rgb="FF000000"/>
      <name val="Arial"/>
      <family val="2"/>
    </font>
    <font>
      <b/>
      <sz val="11"/>
      <name val="Arial"/>
      <family val="2"/>
      <charset val="1"/>
    </font>
    <font>
      <sz val="11"/>
      <color indexed="8"/>
      <name val="Arial"/>
      <family val="2"/>
    </font>
    <font>
      <u/>
      <sz val="11"/>
      <color rgb="FF0000FF"/>
      <name val="Arial"/>
      <family val="2"/>
      <charset val="1"/>
    </font>
    <font>
      <b/>
      <sz val="10"/>
      <color theme="1"/>
      <name val="Arial"/>
      <family val="2"/>
    </font>
    <font>
      <sz val="10"/>
      <color theme="1"/>
      <name val="Arial"/>
      <family val="2"/>
    </font>
    <font>
      <sz val="10"/>
      <name val="Arial"/>
    </font>
    <font>
      <sz val="11"/>
      <color indexed="8"/>
      <name val="Calibri"/>
      <family val="2"/>
    </font>
    <font>
      <sz val="10"/>
      <color rgb="FF000000"/>
      <name val="Arial1"/>
    </font>
    <font>
      <sz val="11"/>
      <color rgb="FF000000"/>
      <name val="Calibri"/>
      <family val="2"/>
    </font>
    <font>
      <b/>
      <i/>
      <sz val="16"/>
      <color rgb="FF000000"/>
      <name val="Arial"/>
      <family val="2"/>
    </font>
    <font>
      <sz val="11"/>
      <color rgb="FF000000"/>
      <name val="Arial"/>
      <family val="2"/>
    </font>
    <font>
      <b/>
      <i/>
      <u/>
      <sz val="11"/>
      <color rgb="FF000000"/>
      <name val="Arial"/>
      <family val="2"/>
    </font>
  </fonts>
  <fills count="10">
    <fill>
      <patternFill patternType="none"/>
    </fill>
    <fill>
      <patternFill patternType="gray125"/>
    </fill>
    <fill>
      <patternFill patternType="solid">
        <fgColor rgb="FFFFFFFF"/>
        <bgColor rgb="FFFFFFCC"/>
      </patternFill>
    </fill>
    <fill>
      <patternFill patternType="solid">
        <fgColor rgb="FFBFBFBF"/>
        <bgColor rgb="FFC0C0C0"/>
      </patternFill>
    </fill>
    <fill>
      <patternFill patternType="solid">
        <fgColor rgb="FFC0C0C0"/>
        <bgColor rgb="FFBFBFBF"/>
      </patternFill>
    </fill>
    <fill>
      <patternFill patternType="solid">
        <fgColor theme="0" tint="-0.249977111117893"/>
        <bgColor indexed="64"/>
      </patternFill>
    </fill>
    <fill>
      <patternFill patternType="solid">
        <fgColor theme="0" tint="-0.249977111117893"/>
        <bgColor rgb="FFC0C0C0"/>
      </patternFill>
    </fill>
    <fill>
      <patternFill patternType="solid">
        <fgColor theme="0"/>
        <bgColor indexed="64"/>
      </patternFill>
    </fill>
    <fill>
      <patternFill patternType="solid">
        <fgColor theme="0" tint="-0.249977111117893"/>
        <bgColor rgb="FFDDDDDD"/>
      </patternFill>
    </fill>
    <fill>
      <patternFill patternType="solid">
        <fgColor theme="0" tint="-0.249977111117893"/>
        <bgColor rgb="FFBFBFBF"/>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medium">
        <color auto="1"/>
      </left>
      <right style="medium">
        <color auto="1"/>
      </right>
      <top/>
      <bottom/>
      <diagonal/>
    </border>
  </borders>
  <cellStyleXfs count="42">
    <xf numFmtId="0" fontId="0" fillId="0" borderId="0"/>
    <xf numFmtId="164" fontId="12" fillId="0" borderId="0" applyBorder="0" applyProtection="0"/>
    <xf numFmtId="167" fontId="12" fillId="0" borderId="0" applyBorder="0" applyProtection="0"/>
    <xf numFmtId="9" fontId="12" fillId="0" borderId="0" applyBorder="0" applyProtection="0"/>
    <xf numFmtId="0" fontId="4" fillId="0" borderId="0" applyBorder="0" applyProtection="0"/>
    <xf numFmtId="0" fontId="16" fillId="0" borderId="0"/>
    <xf numFmtId="43" fontId="25" fillId="0" borderId="0" applyFont="0" applyFill="0" applyBorder="0" applyAlignment="0" applyProtection="0"/>
    <xf numFmtId="0" fontId="26" fillId="0" borderId="0" applyBorder="0" applyProtection="0"/>
    <xf numFmtId="9" fontId="16" fillId="0" borderId="0" applyBorder="0" applyProtection="0"/>
    <xf numFmtId="0" fontId="3" fillId="0" borderId="0"/>
    <xf numFmtId="0" fontId="29" fillId="0" borderId="0"/>
    <xf numFmtId="0" fontId="31" fillId="0" borderId="0" applyNumberFormat="0" applyBorder="0" applyProtection="0"/>
    <xf numFmtId="0" fontId="31" fillId="0" borderId="0" applyNumberFormat="0" applyBorder="0" applyProtection="0"/>
    <xf numFmtId="171" fontId="31" fillId="0" borderId="0" applyBorder="0" applyProtection="0"/>
    <xf numFmtId="171" fontId="31" fillId="0" borderId="0" applyBorder="0" applyProtection="0"/>
    <xf numFmtId="0" fontId="30" fillId="0" borderId="0"/>
    <xf numFmtId="0" fontId="31" fillId="0" borderId="0" applyNumberFormat="0" applyBorder="0" applyProtection="0"/>
    <xf numFmtId="0" fontId="32" fillId="0" borderId="0" applyNumberFormat="0" applyBorder="0" applyProtection="0"/>
    <xf numFmtId="172" fontId="32" fillId="0" borderId="0" applyBorder="0" applyProtection="0"/>
    <xf numFmtId="0" fontId="33" fillId="0" borderId="0" applyNumberFormat="0" applyBorder="0" applyProtection="0">
      <alignment horizontal="center"/>
    </xf>
    <xf numFmtId="0" fontId="33" fillId="0" borderId="0" applyNumberFormat="0" applyBorder="0" applyProtection="0">
      <alignment horizontal="center" textRotation="90"/>
    </xf>
    <xf numFmtId="170" fontId="29" fillId="0" borderId="0" applyFont="0" applyFill="0" applyBorder="0" applyAlignment="0" applyProtection="0"/>
    <xf numFmtId="0" fontId="34" fillId="0" borderId="0"/>
    <xf numFmtId="0" fontId="16" fillId="0" borderId="0"/>
    <xf numFmtId="0" fontId="1" fillId="0" borderId="0"/>
    <xf numFmtId="0" fontId="16" fillId="0" borderId="0"/>
    <xf numFmtId="0" fontId="16" fillId="0" borderId="0"/>
    <xf numFmtId="9" fontId="1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5" fillId="0" borderId="0" applyNumberFormat="0" applyBorder="0" applyProtection="0"/>
    <xf numFmtId="173" fontId="35" fillId="0" borderId="0" applyBorder="0" applyProtection="0"/>
    <xf numFmtId="43" fontId="16" fillId="0" borderId="0" applyFont="0" applyFill="0" applyBorder="0" applyAlignment="0" applyProtection="0"/>
    <xf numFmtId="171" fontId="31" fillId="0" borderId="0" applyBorder="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cellStyleXfs>
  <cellXfs count="453">
    <xf numFmtId="0" fontId="0" fillId="0" borderId="0" xfId="0"/>
    <xf numFmtId="0" fontId="3" fillId="0" borderId="0" xfId="4" applyFont="1" applyBorder="1" applyAlignment="1" applyProtection="1">
      <alignment horizontal="center" vertical="center"/>
    </xf>
    <xf numFmtId="0" fontId="3" fillId="0" borderId="0" xfId="4" applyFont="1" applyBorder="1" applyAlignment="1" applyProtection="1">
      <alignment horizontal="center"/>
    </xf>
    <xf numFmtId="0" fontId="3" fillId="0" borderId="0" xfId="4" applyFont="1" applyBorder="1" applyAlignment="1" applyProtection="1">
      <alignment vertical="center"/>
    </xf>
    <xf numFmtId="164" fontId="3" fillId="0" borderId="0" xfId="4" applyNumberFormat="1" applyFont="1" applyBorder="1" applyAlignment="1" applyProtection="1">
      <alignment horizontal="center" vertical="center"/>
    </xf>
    <xf numFmtId="0" fontId="5" fillId="0" borderId="0" xfId="4" applyFont="1" applyBorder="1" applyAlignment="1" applyProtection="1">
      <alignment horizontal="center" vertical="center" wrapText="1"/>
    </xf>
    <xf numFmtId="0" fontId="5" fillId="0" borderId="0" xfId="4" applyFont="1" applyBorder="1" applyAlignment="1" applyProtection="1">
      <alignment horizontal="center" wrapText="1"/>
    </xf>
    <xf numFmtId="0" fontId="5" fillId="0" borderId="0" xfId="4" applyFont="1" applyBorder="1" applyAlignment="1" applyProtection="1">
      <alignment vertical="center" wrapText="1"/>
    </xf>
    <xf numFmtId="164" fontId="5" fillId="0" borderId="0" xfId="4" applyNumberFormat="1" applyFont="1" applyBorder="1" applyAlignment="1" applyProtection="1">
      <alignment horizontal="center" vertical="center" wrapText="1"/>
    </xf>
    <xf numFmtId="0" fontId="3" fillId="2" borderId="0" xfId="4" applyFont="1" applyFill="1" applyBorder="1" applyAlignment="1" applyProtection="1">
      <alignment vertical="center"/>
    </xf>
    <xf numFmtId="164" fontId="5" fillId="4" borderId="1" xfId="4" applyNumberFormat="1" applyFont="1" applyFill="1" applyBorder="1" applyAlignment="1" applyProtection="1">
      <alignment vertical="center"/>
    </xf>
    <xf numFmtId="0" fontId="3" fillId="0" borderId="1" xfId="4" applyFont="1" applyBorder="1" applyAlignment="1" applyProtection="1">
      <alignment horizontal="center" vertical="center" wrapText="1"/>
    </xf>
    <xf numFmtId="164" fontId="3" fillId="0" borderId="1" xfId="1" applyFont="1" applyBorder="1" applyAlignment="1" applyProtection="1">
      <alignment horizontal="right" vertical="center"/>
    </xf>
    <xf numFmtId="0" fontId="3" fillId="0" borderId="1" xfId="4" applyFont="1" applyBorder="1" applyAlignment="1" applyProtection="1">
      <alignment horizontal="center" vertical="center"/>
    </xf>
    <xf numFmtId="10" fontId="2" fillId="0" borderId="1" xfId="4" applyNumberFormat="1" applyFont="1" applyBorder="1" applyAlignment="1" applyProtection="1">
      <alignment horizontal="center" vertical="center"/>
    </xf>
    <xf numFmtId="0" fontId="5" fillId="0" borderId="1" xfId="4" applyFont="1" applyBorder="1" applyAlignment="1" applyProtection="1"/>
    <xf numFmtId="164" fontId="7" fillId="0" borderId="1" xfId="4" applyNumberFormat="1" applyFont="1" applyBorder="1" applyAlignment="1" applyProtection="1">
      <alignment horizontal="center" vertical="center"/>
    </xf>
    <xf numFmtId="166" fontId="3" fillId="0" borderId="1" xfId="4" applyNumberFormat="1" applyFont="1" applyBorder="1" applyAlignment="1" applyProtection="1">
      <alignment horizontal="center" vertical="center"/>
    </xf>
    <xf numFmtId="0" fontId="5" fillId="0" borderId="1" xfId="4" applyFont="1" applyBorder="1" applyAlignment="1" applyProtection="1">
      <alignment horizontal="center"/>
    </xf>
    <xf numFmtId="0" fontId="0" fillId="0" borderId="0" xfId="0" applyBorder="1"/>
    <xf numFmtId="10" fontId="0" fillId="0" borderId="0" xfId="0" applyNumberFormat="1"/>
    <xf numFmtId="0" fontId="11"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xf>
    <xf numFmtId="0" fontId="13" fillId="0" borderId="1" xfId="0" applyFont="1" applyBorder="1" applyAlignment="1">
      <alignment vertical="center" wrapText="1"/>
    </xf>
    <xf numFmtId="0" fontId="6" fillId="0" borderId="0" xfId="4" applyFont="1" applyFill="1" applyBorder="1" applyAlignment="1" applyProtection="1">
      <alignment vertical="center"/>
    </xf>
    <xf numFmtId="0" fontId="3" fillId="0" borderId="0" xfId="4" applyFont="1" applyFill="1" applyBorder="1" applyAlignment="1" applyProtection="1">
      <alignment vertical="center"/>
    </xf>
    <xf numFmtId="0" fontId="8" fillId="0" borderId="0" xfId="4" applyFont="1" applyFill="1" applyBorder="1" applyAlignment="1" applyProtection="1">
      <alignment vertical="center"/>
    </xf>
    <xf numFmtId="0" fontId="0" fillId="0" borderId="0" xfId="0" applyFill="1"/>
    <xf numFmtId="0" fontId="13" fillId="0" borderId="1" xfId="0" applyFont="1" applyFill="1" applyBorder="1" applyAlignment="1">
      <alignment horizontal="center" vertical="center"/>
    </xf>
    <xf numFmtId="0" fontId="13" fillId="0" borderId="1" xfId="0" applyFont="1" applyFill="1" applyBorder="1" applyAlignment="1">
      <alignment vertical="center" wrapText="1"/>
    </xf>
    <xf numFmtId="168" fontId="13" fillId="0" borderId="1" xfId="0" applyNumberFormat="1" applyFont="1" applyFill="1" applyBorder="1" applyAlignment="1">
      <alignment horizontal="center" vertical="center"/>
    </xf>
    <xf numFmtId="169" fontId="13" fillId="0" borderId="1" xfId="0" applyNumberFormat="1" applyFont="1" applyFill="1" applyBorder="1" applyAlignment="1">
      <alignment horizontal="center" vertical="center"/>
    </xf>
    <xf numFmtId="0" fontId="3" fillId="0" borderId="1" xfId="4" applyFont="1" applyFill="1" applyBorder="1" applyAlignment="1" applyProtection="1">
      <alignment horizontal="center" vertical="center"/>
    </xf>
    <xf numFmtId="0" fontId="3" fillId="0" borderId="1" xfId="4" applyFont="1" applyFill="1" applyBorder="1" applyAlignment="1" applyProtection="1">
      <alignment vertical="center" wrapText="1"/>
    </xf>
    <xf numFmtId="164" fontId="3" fillId="0" borderId="1" xfId="1" applyFont="1" applyFill="1" applyBorder="1" applyAlignment="1" applyProtection="1">
      <alignment horizontal="right" vertical="center"/>
    </xf>
    <xf numFmtId="164" fontId="3" fillId="0" borderId="1" xfId="4" applyNumberFormat="1" applyFont="1" applyFill="1" applyBorder="1" applyAlignment="1" applyProtection="1">
      <alignment horizontal="right" vertical="center"/>
    </xf>
    <xf numFmtId="0" fontId="3" fillId="0" borderId="1" xfId="4" applyFont="1" applyFill="1" applyBorder="1" applyAlignment="1" applyProtection="1">
      <alignment horizontal="center" vertical="center" wrapText="1"/>
    </xf>
    <xf numFmtId="0" fontId="3" fillId="0" borderId="1" xfId="0" applyFont="1" applyFill="1" applyBorder="1" applyAlignment="1">
      <alignment vertical="center" wrapText="1"/>
    </xf>
    <xf numFmtId="164" fontId="7" fillId="0" borderId="1" xfId="1" applyFont="1" applyFill="1" applyBorder="1" applyAlignment="1" applyProtection="1">
      <alignment horizontal="right" vertical="center"/>
    </xf>
    <xf numFmtId="49" fontId="5" fillId="3" borderId="1" xfId="4" applyNumberFormat="1" applyFont="1" applyFill="1" applyBorder="1" applyAlignment="1" applyProtection="1">
      <alignment horizontal="center" vertical="center" wrapText="1"/>
    </xf>
    <xf numFmtId="164" fontId="5" fillId="3" borderId="1" xfId="4" applyNumberFormat="1" applyFont="1" applyFill="1" applyBorder="1" applyAlignment="1" applyProtection="1">
      <alignment horizontal="center" vertical="center" wrapText="1"/>
    </xf>
    <xf numFmtId="4" fontId="5" fillId="3" borderId="1" xfId="4" applyNumberFormat="1" applyFont="1" applyFill="1" applyBorder="1" applyAlignment="1" applyProtection="1">
      <alignment horizontal="center" vertical="center" wrapText="1"/>
    </xf>
    <xf numFmtId="0" fontId="19" fillId="0" borderId="0" xfId="0" applyFont="1" applyAlignment="1">
      <alignment vertical="center"/>
    </xf>
    <xf numFmtId="10" fontId="18" fillId="0" borderId="1" xfId="4" applyNumberFormat="1" applyFont="1" applyFill="1" applyBorder="1" applyAlignment="1" applyProtection="1">
      <alignment horizontal="right" vertical="center"/>
    </xf>
    <xf numFmtId="0" fontId="19" fillId="0" borderId="0" xfId="0" applyFont="1"/>
    <xf numFmtId="164" fontId="18" fillId="2" borderId="1" xfId="4" applyNumberFormat="1" applyFont="1" applyFill="1" applyBorder="1" applyAlignment="1" applyProtection="1">
      <alignment horizontal="center" vertical="center"/>
    </xf>
    <xf numFmtId="164" fontId="18" fillId="2" borderId="1" xfId="4" applyNumberFormat="1" applyFont="1" applyFill="1" applyBorder="1" applyAlignment="1" applyProtection="1">
      <alignment vertical="center"/>
    </xf>
    <xf numFmtId="165" fontId="18" fillId="2" borderId="1" xfId="4" applyNumberFormat="1" applyFont="1" applyFill="1" applyBorder="1" applyAlignment="1" applyProtection="1">
      <alignment vertical="center"/>
    </xf>
    <xf numFmtId="0" fontId="18" fillId="0" borderId="0" xfId="4" applyFont="1" applyFill="1" applyBorder="1" applyAlignment="1" applyProtection="1">
      <alignment vertical="center"/>
    </xf>
    <xf numFmtId="0" fontId="18" fillId="0" borderId="0" xfId="4" applyFont="1" applyBorder="1" applyAlignment="1" applyProtection="1">
      <alignment vertical="center"/>
    </xf>
    <xf numFmtId="0" fontId="18" fillId="0" borderId="0" xfId="4" applyFont="1" applyBorder="1" applyAlignment="1" applyProtection="1">
      <alignment horizontal="center" vertical="center"/>
    </xf>
    <xf numFmtId="164" fontId="18" fillId="0" borderId="0" xfId="4" applyNumberFormat="1" applyFont="1" applyBorder="1" applyAlignment="1" applyProtection="1">
      <alignment horizontal="center" vertical="center"/>
    </xf>
    <xf numFmtId="164" fontId="18" fillId="0" borderId="0" xfId="1" applyFont="1" applyBorder="1" applyAlignment="1" applyProtection="1">
      <alignment vertical="center"/>
    </xf>
    <xf numFmtId="164" fontId="5" fillId="0" borderId="0" xfId="4" applyNumberFormat="1" applyFont="1" applyBorder="1" applyAlignment="1" applyProtection="1">
      <alignment horizontal="right" vertical="center" wrapText="1"/>
    </xf>
    <xf numFmtId="164" fontId="18" fillId="2" borderId="1" xfId="4" applyNumberFormat="1" applyFont="1" applyFill="1" applyBorder="1" applyAlignment="1" applyProtection="1">
      <alignment horizontal="right" vertical="center"/>
    </xf>
    <xf numFmtId="164" fontId="18" fillId="0" borderId="0" xfId="4" applyNumberFormat="1" applyFont="1" applyBorder="1" applyAlignment="1" applyProtection="1">
      <alignment horizontal="right" vertical="center"/>
    </xf>
    <xf numFmtId="164" fontId="3" fillId="0" borderId="0" xfId="4" applyNumberFormat="1" applyFont="1" applyBorder="1" applyAlignment="1" applyProtection="1">
      <alignment horizontal="right" vertical="center"/>
    </xf>
    <xf numFmtId="0" fontId="18" fillId="2" borderId="1" xfId="4" applyFont="1" applyFill="1" applyBorder="1" applyAlignment="1" applyProtection="1">
      <alignment horizontal="right" vertical="center"/>
    </xf>
    <xf numFmtId="0" fontId="19" fillId="0" borderId="1" xfId="0" applyFont="1" applyBorder="1" applyAlignment="1">
      <alignment horizontal="right" vertical="center"/>
    </xf>
    <xf numFmtId="0" fontId="18" fillId="0" borderId="0" xfId="4" applyFont="1" applyBorder="1" applyAlignment="1" applyProtection="1">
      <alignment vertical="center" wrapText="1"/>
    </xf>
    <xf numFmtId="49" fontId="3" fillId="0" borderId="1" xfId="4" applyNumberFormat="1" applyFont="1" applyFill="1" applyBorder="1" applyAlignment="1" applyProtection="1">
      <alignment horizontal="center" vertical="center" wrapText="1"/>
    </xf>
    <xf numFmtId="0" fontId="16" fillId="0" borderId="1" xfId="4" applyFont="1" applyFill="1" applyBorder="1" applyAlignment="1" applyProtection="1">
      <alignment horizontal="center" vertical="center"/>
    </xf>
    <xf numFmtId="0" fontId="7" fillId="0" borderId="1" xfId="4" applyFont="1" applyFill="1" applyBorder="1" applyAlignment="1" applyProtection="1">
      <alignment horizontal="center" vertical="center"/>
    </xf>
    <xf numFmtId="0" fontId="13" fillId="0" borderId="1" xfId="0" applyFont="1" applyFill="1" applyBorder="1" applyAlignment="1">
      <alignment horizontal="center" vertical="center" wrapText="1"/>
    </xf>
    <xf numFmtId="169" fontId="13" fillId="0" borderId="1" xfId="2" applyNumberFormat="1" applyFont="1" applyFill="1" applyBorder="1" applyAlignment="1">
      <alignment horizontal="center" vertical="center"/>
    </xf>
    <xf numFmtId="0" fontId="16" fillId="0" borderId="1" xfId="4" applyFont="1" applyFill="1" applyBorder="1" applyAlignment="1" applyProtection="1">
      <alignment vertical="center" wrapText="1"/>
    </xf>
    <xf numFmtId="0" fontId="3" fillId="0" borderId="0" xfId="4" applyFont="1" applyBorder="1" applyAlignment="1" applyProtection="1">
      <alignment vertical="center" wrapText="1"/>
    </xf>
    <xf numFmtId="0" fontId="13" fillId="0" borderId="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right" vertical="center"/>
    </xf>
    <xf numFmtId="4" fontId="3" fillId="0" borderId="1" xfId="4" applyNumberFormat="1" applyFont="1" applyFill="1" applyBorder="1" applyAlignment="1" applyProtection="1">
      <alignment horizontal="right" vertical="center"/>
    </xf>
    <xf numFmtId="164" fontId="3" fillId="0" borderId="1" xfId="4" applyNumberFormat="1" applyFont="1" applyBorder="1" applyAlignment="1" applyProtection="1">
      <alignment horizontal="right" vertical="center"/>
    </xf>
    <xf numFmtId="0" fontId="5" fillId="4" borderId="2" xfId="4" applyFont="1" applyFill="1" applyBorder="1" applyAlignment="1" applyProtection="1">
      <alignment horizontal="center" vertical="center"/>
    </xf>
    <xf numFmtId="0" fontId="3" fillId="0" borderId="5" xfId="4" applyFont="1" applyFill="1" applyBorder="1" applyAlignment="1" applyProtection="1">
      <alignment horizontal="center" vertical="center"/>
    </xf>
    <xf numFmtId="4" fontId="3" fillId="0" borderId="1" xfId="0" applyNumberFormat="1" applyFont="1" applyFill="1" applyBorder="1" applyAlignment="1">
      <alignment horizontal="right" vertical="center"/>
    </xf>
    <xf numFmtId="0" fontId="5" fillId="0" borderId="2" xfId="4" applyFont="1" applyFill="1" applyBorder="1" applyAlignment="1" applyProtection="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164" fontId="16" fillId="0" borderId="1" xfId="4" applyNumberFormat="1" applyFont="1" applyFill="1" applyBorder="1" applyAlignment="1" applyProtection="1">
      <alignment horizontal="center" vertical="center"/>
    </xf>
    <xf numFmtId="0" fontId="16" fillId="0" borderId="1" xfId="0" applyFont="1" applyFill="1" applyBorder="1" applyAlignment="1">
      <alignment horizontal="center" vertical="center" wrapText="1"/>
    </xf>
    <xf numFmtId="164" fontId="16" fillId="0" borderId="1" xfId="4" applyNumberFormat="1" applyFont="1" applyFill="1" applyBorder="1" applyAlignment="1" applyProtection="1">
      <alignment vertical="center"/>
    </xf>
    <xf numFmtId="0" fontId="16" fillId="0" borderId="1" xfId="4" applyFont="1" applyFill="1" applyBorder="1" applyAlignment="1" applyProtection="1">
      <alignment horizontal="center" vertical="center" wrapText="1"/>
    </xf>
    <xf numFmtId="164" fontId="3" fillId="0" borderId="1" xfId="4" applyNumberFormat="1" applyFont="1" applyBorder="1" applyAlignment="1" applyProtection="1">
      <alignment vertical="center"/>
    </xf>
    <xf numFmtId="0" fontId="16" fillId="0" borderId="1" xfId="4" applyNumberFormat="1" applyFont="1" applyFill="1" applyBorder="1" applyAlignment="1">
      <alignment horizontal="center" vertical="center"/>
    </xf>
    <xf numFmtId="0" fontId="13" fillId="0" borderId="1" xfId="0" applyFont="1" applyBorder="1" applyAlignment="1">
      <alignment vertical="center"/>
    </xf>
    <xf numFmtId="164" fontId="3" fillId="0" borderId="3" xfId="1" applyFont="1" applyFill="1" applyBorder="1" applyAlignment="1" applyProtection="1">
      <alignment horizontal="right" vertical="center"/>
    </xf>
    <xf numFmtId="0" fontId="3" fillId="0" borderId="6" xfId="0" applyFont="1" applyFill="1" applyBorder="1" applyAlignment="1">
      <alignment vertical="center"/>
    </xf>
    <xf numFmtId="0" fontId="18" fillId="2" borderId="1" xfId="4" applyFont="1" applyFill="1" applyBorder="1" applyAlignment="1" applyProtection="1">
      <alignment horizontal="center" vertical="center"/>
    </xf>
    <xf numFmtId="10" fontId="18" fillId="2" borderId="1" xfId="4" applyNumberFormat="1" applyFont="1" applyFill="1" applyBorder="1" applyAlignment="1" applyProtection="1">
      <alignment horizontal="center" vertical="center"/>
    </xf>
    <xf numFmtId="14" fontId="18" fillId="2" borderId="1" xfId="4" applyNumberFormat="1" applyFont="1" applyFill="1" applyBorder="1" applyAlignment="1" applyProtection="1">
      <alignment horizontal="center" vertical="center"/>
    </xf>
    <xf numFmtId="0" fontId="16" fillId="0" borderId="10"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10" xfId="0" applyFont="1" applyFill="1" applyBorder="1" applyAlignment="1">
      <alignment horizontal="center" vertical="center"/>
    </xf>
    <xf numFmtId="2" fontId="16" fillId="0" borderId="8" xfId="0" applyNumberFormat="1" applyFont="1" applyFill="1" applyBorder="1" applyAlignment="1">
      <alignment vertical="center" wrapText="1"/>
    </xf>
    <xf numFmtId="2" fontId="16" fillId="0" borderId="14" xfId="0" applyNumberFormat="1" applyFont="1" applyFill="1" applyBorder="1" applyAlignment="1">
      <alignment vertical="center"/>
    </xf>
    <xf numFmtId="2" fontId="3" fillId="0" borderId="9" xfId="0" applyNumberFormat="1" applyFont="1" applyFill="1" applyBorder="1" applyAlignment="1">
      <alignment vertical="center"/>
    </xf>
    <xf numFmtId="0" fontId="5" fillId="4" borderId="2" xfId="4" applyFont="1" applyFill="1" applyBorder="1" applyAlignment="1" applyProtection="1">
      <alignment vertical="center" wrapText="1"/>
    </xf>
    <xf numFmtId="0" fontId="5" fillId="4" borderId="11" xfId="4" applyFont="1" applyFill="1" applyBorder="1" applyAlignment="1" applyProtection="1">
      <alignment vertical="center" wrapText="1"/>
    </xf>
    <xf numFmtId="0" fontId="5" fillId="4" borderId="4" xfId="4" applyFont="1" applyFill="1" applyBorder="1" applyAlignment="1" applyProtection="1">
      <alignment vertical="center" wrapText="1"/>
    </xf>
    <xf numFmtId="0" fontId="16" fillId="0" borderId="13" xfId="0" applyFont="1" applyFill="1" applyBorder="1" applyAlignment="1">
      <alignment horizontal="center" vertical="center"/>
    </xf>
    <xf numFmtId="2" fontId="16" fillId="0" borderId="14" xfId="0" applyNumberFormat="1" applyFont="1" applyFill="1" applyBorder="1" applyAlignment="1">
      <alignment vertical="center" wrapText="1"/>
    </xf>
    <xf numFmtId="0" fontId="3" fillId="0" borderId="1" xfId="4" applyFont="1" applyFill="1" applyBorder="1" applyAlignment="1" applyProtection="1">
      <alignment horizontal="center" vertical="center" wrapText="1"/>
    </xf>
    <xf numFmtId="4" fontId="6" fillId="0" borderId="0" xfId="4" applyNumberFormat="1" applyFont="1" applyFill="1" applyBorder="1" applyAlignment="1" applyProtection="1">
      <alignment vertical="center"/>
    </xf>
    <xf numFmtId="0" fontId="0" fillId="0" borderId="0" xfId="0" quotePrefix="1"/>
    <xf numFmtId="43" fontId="6" fillId="0" borderId="0" xfId="4" applyNumberFormat="1" applyFont="1" applyFill="1" applyBorder="1" applyAlignment="1" applyProtection="1">
      <alignment vertical="center"/>
    </xf>
    <xf numFmtId="43" fontId="3" fillId="0" borderId="0" xfId="4" applyNumberFormat="1" applyFont="1" applyFill="1" applyBorder="1" applyAlignment="1" applyProtection="1">
      <alignment vertical="center"/>
    </xf>
    <xf numFmtId="0" fontId="3" fillId="0" borderId="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0" fontId="3" fillId="0" borderId="13" xfId="0" applyFont="1" applyFill="1" applyBorder="1" applyAlignment="1">
      <alignment vertical="center"/>
    </xf>
    <xf numFmtId="49" fontId="16" fillId="0" borderId="7"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0" fontId="5" fillId="4" borderId="11" xfId="4" applyFont="1" applyFill="1" applyBorder="1" applyAlignment="1" applyProtection="1">
      <alignment horizontal="center" vertical="center" wrapText="1"/>
    </xf>
    <xf numFmtId="0" fontId="5" fillId="4" borderId="4" xfId="4" applyFont="1" applyFill="1" applyBorder="1" applyAlignment="1" applyProtection="1">
      <alignment horizontal="center" vertical="center" wrapText="1"/>
    </xf>
    <xf numFmtId="166" fontId="5" fillId="5" borderId="1" xfId="1" applyNumberFormat="1" applyFont="1" applyFill="1" applyBorder="1" applyAlignment="1" applyProtection="1">
      <alignment horizontal="center" vertical="center"/>
    </xf>
    <xf numFmtId="10" fontId="2" fillId="5" borderId="1" xfId="4" applyNumberFormat="1" applyFont="1" applyFill="1" applyBorder="1" applyAlignment="1" applyProtection="1">
      <alignment horizontal="center" vertical="center"/>
    </xf>
    <xf numFmtId="10" fontId="3" fillId="8" borderId="1" xfId="4" applyNumberFormat="1" applyFont="1" applyFill="1" applyBorder="1" applyAlignment="1" applyProtection="1">
      <alignment horizontal="center" vertical="center"/>
    </xf>
    <xf numFmtId="0" fontId="5" fillId="5" borderId="1" xfId="4" applyFont="1" applyFill="1" applyBorder="1" applyAlignment="1" applyProtection="1">
      <alignment horizontal="center"/>
    </xf>
    <xf numFmtId="9" fontId="3" fillId="8" borderId="1" xfId="4" applyNumberFormat="1" applyFont="1" applyFill="1" applyBorder="1" applyAlignment="1" applyProtection="1">
      <alignment horizontal="center" vertical="center"/>
    </xf>
    <xf numFmtId="166" fontId="0" fillId="0" borderId="0" xfId="0" applyNumberFormat="1"/>
    <xf numFmtId="4" fontId="0" fillId="0" borderId="0" xfId="0" applyNumberFormat="1"/>
    <xf numFmtId="166" fontId="0" fillId="0" borderId="0" xfId="0" applyNumberFormat="1" applyBorder="1"/>
    <xf numFmtId="166" fontId="18" fillId="2" borderId="1" xfId="4" applyNumberFormat="1" applyFont="1" applyFill="1" applyBorder="1" applyAlignment="1" applyProtection="1">
      <alignment horizontal="center" vertical="center"/>
    </xf>
    <xf numFmtId="165" fontId="18" fillId="2" borderId="1" xfId="4" applyNumberFormat="1" applyFont="1" applyFill="1" applyBorder="1" applyAlignment="1" applyProtection="1">
      <alignment horizontal="center" vertical="center"/>
    </xf>
    <xf numFmtId="0" fontId="17" fillId="3" borderId="1" xfId="4" applyFont="1" applyFill="1" applyBorder="1" applyAlignment="1" applyProtection="1">
      <alignment horizontal="center"/>
    </xf>
    <xf numFmtId="0" fontId="3" fillId="0" borderId="0" xfId="4" applyFont="1" applyBorder="1" applyAlignment="1" applyProtection="1">
      <alignment horizontal="left" vertical="center"/>
      <protection locked="0"/>
    </xf>
    <xf numFmtId="0" fontId="3" fillId="0" borderId="13" xfId="4" applyFont="1" applyBorder="1" applyAlignment="1" applyProtection="1">
      <alignment horizontal="left" vertical="center"/>
      <protection locked="0"/>
    </xf>
    <xf numFmtId="0" fontId="3" fillId="0" borderId="3" xfId="4" applyFont="1" applyFill="1" applyBorder="1" applyAlignment="1" applyProtection="1">
      <alignment horizontal="center" vertical="center" wrapText="1"/>
    </xf>
    <xf numFmtId="0" fontId="16" fillId="0" borderId="0" xfId="0" applyFont="1" applyFill="1" applyBorder="1" applyAlignment="1">
      <alignment vertical="center"/>
    </xf>
    <xf numFmtId="49" fontId="5" fillId="6" borderId="1" xfId="4" applyNumberFormat="1" applyFont="1" applyFill="1" applyBorder="1" applyAlignment="1" applyProtection="1"/>
    <xf numFmtId="0" fontId="5" fillId="6" borderId="1" xfId="4" applyFont="1" applyFill="1" applyBorder="1" applyAlignment="1" applyProtection="1"/>
    <xf numFmtId="0" fontId="3" fillId="0" borderId="1" xfId="4" applyFont="1" applyBorder="1" applyAlignment="1" applyProtection="1"/>
    <xf numFmtId="0" fontId="5" fillId="9" borderId="1" xfId="4" applyFont="1" applyFill="1" applyBorder="1" applyAlignment="1" applyProtection="1">
      <alignment vertical="center"/>
    </xf>
    <xf numFmtId="0" fontId="5" fillId="6" borderId="1" xfId="4" applyFont="1" applyFill="1" applyBorder="1" applyAlignment="1" applyProtection="1">
      <alignment vertical="center"/>
    </xf>
    <xf numFmtId="164" fontId="3" fillId="0" borderId="1" xfId="4" applyNumberFormat="1" applyFont="1" applyBorder="1" applyAlignment="1" applyProtection="1">
      <alignment horizontal="center" vertical="center"/>
    </xf>
    <xf numFmtId="10" fontId="12" fillId="5" borderId="1" xfId="3" applyNumberFormat="1" applyFill="1" applyBorder="1" applyProtection="1"/>
    <xf numFmtId="166" fontId="3" fillId="3" borderId="1" xfId="4" applyNumberFormat="1" applyFont="1" applyFill="1" applyBorder="1" applyAlignment="1" applyProtection="1">
      <alignment horizontal="center" vertical="center"/>
    </xf>
    <xf numFmtId="10" fontId="12" fillId="0" borderId="1" xfId="3" applyNumberFormat="1" applyFill="1" applyBorder="1" applyProtection="1"/>
    <xf numFmtId="166" fontId="7" fillId="0" borderId="1" xfId="4" applyNumberFormat="1" applyFont="1" applyFill="1" applyBorder="1" applyAlignment="1" applyProtection="1">
      <alignment horizontal="center" vertical="center"/>
    </xf>
    <xf numFmtId="10" fontId="18" fillId="0" borderId="1" xfId="4" applyNumberFormat="1" applyFont="1" applyFill="1" applyBorder="1" applyAlignment="1" applyProtection="1">
      <alignment horizontal="center" vertical="center"/>
    </xf>
    <xf numFmtId="0" fontId="3" fillId="0" borderId="6" xfId="0" applyFont="1" applyFill="1" applyBorder="1" applyAlignment="1">
      <alignment horizontal="center" vertical="center"/>
    </xf>
    <xf numFmtId="0" fontId="3" fillId="0" borderId="3"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wrapText="1"/>
    </xf>
    <xf numFmtId="0" fontId="3" fillId="7" borderId="1" xfId="4" applyFont="1" applyFill="1" applyBorder="1" applyAlignment="1" applyProtection="1">
      <alignment horizontal="center" vertical="center" wrapText="1"/>
    </xf>
    <xf numFmtId="0" fontId="3" fillId="7" borderId="1" xfId="0" applyFont="1" applyFill="1" applyBorder="1" applyAlignment="1">
      <alignment horizontal="center" vertical="center"/>
    </xf>
    <xf numFmtId="0" fontId="3" fillId="0" borderId="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0" fontId="16" fillId="0" borderId="0" xfId="0" applyFont="1" applyFill="1" applyBorder="1" applyAlignment="1">
      <alignment horizontal="center" vertical="center"/>
    </xf>
    <xf numFmtId="0" fontId="3" fillId="0" borderId="12" xfId="0" applyFont="1" applyFill="1" applyBorder="1" applyAlignment="1">
      <alignment vertical="center"/>
    </xf>
    <xf numFmtId="2" fontId="3" fillId="0" borderId="14" xfId="0" applyNumberFormat="1" applyFont="1" applyFill="1" applyBorder="1" applyAlignment="1">
      <alignment vertical="center"/>
    </xf>
    <xf numFmtId="49" fontId="3" fillId="0" borderId="7" xfId="4" applyNumberFormat="1" applyFont="1" applyFill="1" applyBorder="1" applyAlignment="1" applyProtection="1">
      <alignment horizontal="center" vertical="center" wrapText="1"/>
    </xf>
    <xf numFmtId="49" fontId="3" fillId="0" borderId="10" xfId="4" applyNumberFormat="1" applyFont="1" applyFill="1" applyBorder="1" applyAlignment="1" applyProtection="1">
      <alignment horizontal="center" vertical="center" wrapText="1"/>
    </xf>
    <xf numFmtId="49" fontId="3" fillId="0" borderId="13" xfId="4"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xf>
    <xf numFmtId="4" fontId="18" fillId="0" borderId="0" xfId="4" applyNumberFormat="1" applyFont="1" applyFill="1" applyBorder="1" applyAlignment="1" applyProtection="1">
      <alignment vertical="center"/>
    </xf>
    <xf numFmtId="0" fontId="3" fillId="0" borderId="1" xfId="4" applyFont="1" applyFill="1" applyBorder="1" applyAlignment="1" applyProtection="1">
      <alignment horizontal="center" vertical="center"/>
    </xf>
    <xf numFmtId="0" fontId="3" fillId="0" borderId="3"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49" fontId="3" fillId="0" borderId="1" xfId="4" applyNumberFormat="1" applyFont="1" applyBorder="1" applyAlignment="1" applyProtection="1">
      <alignment horizontal="center" vertical="center" wrapText="1"/>
    </xf>
    <xf numFmtId="0" fontId="7" fillId="0" borderId="7" xfId="4" applyFont="1" applyFill="1" applyBorder="1" applyAlignment="1" applyProtection="1">
      <alignment horizontal="center" vertical="center"/>
    </xf>
    <xf numFmtId="0" fontId="8" fillId="0" borderId="0" xfId="4" applyFont="1" applyBorder="1" applyAlignment="1" applyProtection="1">
      <alignment vertical="center"/>
    </xf>
    <xf numFmtId="0" fontId="7" fillId="0" borderId="1" xfId="4" applyFont="1" applyBorder="1" applyAlignment="1" applyProtection="1">
      <alignment horizontal="center" vertical="center"/>
    </xf>
    <xf numFmtId="164" fontId="7" fillId="0" borderId="1" xfId="1" applyFont="1" applyBorder="1" applyAlignment="1" applyProtection="1">
      <alignment horizontal="right" vertical="center"/>
    </xf>
    <xf numFmtId="0" fontId="7" fillId="0" borderId="0" xfId="4" applyFont="1" applyBorder="1" applyAlignment="1" applyProtection="1">
      <alignment vertical="center"/>
    </xf>
    <xf numFmtId="0" fontId="8" fillId="0" borderId="0" xfId="4" applyFont="1" applyBorder="1" applyAlignment="1" applyProtection="1">
      <alignment vertical="center" wrapText="1"/>
    </xf>
    <xf numFmtId="49" fontId="16" fillId="0" borderId="13" xfId="0" applyNumberFormat="1" applyFont="1" applyFill="1" applyBorder="1" applyAlignment="1">
      <alignment horizontal="center" vertical="center"/>
    </xf>
    <xf numFmtId="0" fontId="3" fillId="0" borderId="0" xfId="4" applyFont="1" applyFill="1" applyBorder="1" applyAlignment="1" applyProtection="1">
      <alignment vertical="center"/>
    </xf>
    <xf numFmtId="0" fontId="0" fillId="0" borderId="0" xfId="0" applyFill="1"/>
    <xf numFmtId="0" fontId="3" fillId="0" borderId="1" xfId="4" applyFont="1" applyFill="1" applyBorder="1" applyAlignment="1" applyProtection="1">
      <alignment horizontal="center" vertical="center" wrapText="1"/>
    </xf>
    <xf numFmtId="0" fontId="3" fillId="7" borderId="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0" fontId="3" fillId="0" borderId="3" xfId="0" applyFont="1" applyFill="1" applyBorder="1" applyAlignment="1">
      <alignment horizontal="center" vertical="center"/>
    </xf>
    <xf numFmtId="164" fontId="3" fillId="0" borderId="3" xfId="4" applyNumberFormat="1" applyFont="1" applyFill="1" applyBorder="1" applyAlignment="1" applyProtection="1">
      <alignment horizontal="right" vertical="center"/>
    </xf>
    <xf numFmtId="2" fontId="3" fillId="0" borderId="3" xfId="0" applyNumberFormat="1" applyFont="1" applyFill="1" applyBorder="1" applyAlignment="1">
      <alignment horizontal="right" vertical="center"/>
    </xf>
    <xf numFmtId="0" fontId="13" fillId="0" borderId="0" xfId="0" applyFont="1" applyFill="1" applyAlignment="1">
      <alignment vertical="center"/>
    </xf>
    <xf numFmtId="49" fontId="3" fillId="0" borderId="10" xfId="4" applyNumberFormat="1" applyFont="1" applyBorder="1" applyAlignment="1" applyProtection="1">
      <alignment horizontal="center" vertical="center" wrapText="1"/>
    </xf>
    <xf numFmtId="0" fontId="3" fillId="0" borderId="7" xfId="4" applyFont="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16" fillId="0" borderId="0" xfId="0" applyFont="1" applyFill="1" applyBorder="1" applyAlignment="1">
      <alignment horizontal="center" vertical="center"/>
    </xf>
    <xf numFmtId="0" fontId="3" fillId="0" borderId="1" xfId="4" applyFont="1" applyFill="1" applyBorder="1" applyAlignment="1" applyProtection="1">
      <alignment horizontal="center" vertical="center"/>
    </xf>
    <xf numFmtId="0" fontId="3" fillId="0" borderId="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164" fontId="3" fillId="0" borderId="1" xfId="4" applyNumberFormat="1" applyFont="1" applyFill="1" applyBorder="1" applyAlignment="1" applyProtection="1">
      <alignment horizontal="right" vertical="center" wrapText="1"/>
    </xf>
    <xf numFmtId="0" fontId="13" fillId="0" borderId="0" xfId="0" applyFont="1" applyFill="1" applyAlignment="1">
      <alignment vertical="center" wrapText="1"/>
    </xf>
    <xf numFmtId="0" fontId="3" fillId="0" borderId="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0" fontId="3" fillId="0" borderId="3"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49" fontId="3" fillId="0" borderId="7" xfId="4" applyNumberFormat="1" applyFont="1" applyBorder="1" applyAlignment="1" applyProtection="1">
      <alignment horizontal="center" vertical="center" wrapText="1"/>
    </xf>
    <xf numFmtId="0" fontId="6" fillId="0" borderId="0" xfId="4" applyFont="1" applyBorder="1" applyAlignment="1" applyProtection="1">
      <alignment vertical="center"/>
    </xf>
    <xf numFmtId="0" fontId="3" fillId="0" borderId="1" xfId="4" applyFont="1" applyFill="1" applyBorder="1" applyAlignment="1" applyProtection="1">
      <alignment horizontal="center" vertical="center"/>
    </xf>
    <xf numFmtId="164" fontId="3" fillId="0" borderId="1" xfId="4" applyNumberFormat="1" applyFont="1" applyFill="1" applyBorder="1" applyAlignment="1" applyProtection="1">
      <alignment horizontal="center" vertical="center"/>
    </xf>
    <xf numFmtId="0" fontId="3" fillId="0" borderId="0" xfId="4" quotePrefix="1" applyFont="1" applyFill="1" applyBorder="1" applyAlignment="1" applyProtection="1">
      <alignment vertical="center"/>
    </xf>
    <xf numFmtId="2" fontId="16" fillId="0" borderId="1" xfId="1" applyNumberFormat="1" applyFont="1" applyFill="1" applyBorder="1" applyAlignment="1" applyProtection="1">
      <alignment vertical="center"/>
    </xf>
    <xf numFmtId="164" fontId="16" fillId="0" borderId="1" xfId="1" applyFont="1" applyFill="1" applyBorder="1" applyAlignment="1" applyProtection="1">
      <alignment horizontal="center" vertical="center"/>
    </xf>
    <xf numFmtId="4" fontId="16" fillId="0" borderId="1" xfId="4" applyNumberFormat="1" applyFont="1" applyFill="1" applyBorder="1" applyAlignment="1" applyProtection="1">
      <alignment vertical="center"/>
    </xf>
    <xf numFmtId="164" fontId="3" fillId="0" borderId="1" xfId="1" applyFont="1" applyFill="1" applyBorder="1" applyAlignment="1" applyProtection="1">
      <alignment vertical="center"/>
    </xf>
    <xf numFmtId="0" fontId="3" fillId="0" borderId="1" xfId="5" applyFont="1" applyBorder="1" applyAlignment="1">
      <alignment horizontal="center" vertical="center" wrapText="1"/>
    </xf>
    <xf numFmtId="164" fontId="16" fillId="0" borderId="1" xfId="4" applyNumberFormat="1" applyFont="1" applyBorder="1" applyAlignment="1" applyProtection="1">
      <alignment horizontal="center" vertical="center"/>
    </xf>
    <xf numFmtId="0" fontId="13" fillId="0" borderId="1" xfId="0" applyFont="1" applyBorder="1" applyAlignment="1">
      <alignment horizontal="center" vertical="center"/>
    </xf>
    <xf numFmtId="168" fontId="13" fillId="0" borderId="1" xfId="0" applyNumberFormat="1" applyFont="1" applyBorder="1" applyAlignment="1">
      <alignment horizontal="center" vertical="center"/>
    </xf>
    <xf numFmtId="166"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2" fontId="13"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left" vertical="center"/>
    </xf>
    <xf numFmtId="0" fontId="3" fillId="0" borderId="1" xfId="4" applyFont="1" applyBorder="1" applyAlignment="1" applyProtection="1">
      <alignment horizontal="center" vertical="center" wrapText="1"/>
      <protection locked="0"/>
    </xf>
    <xf numFmtId="167" fontId="3" fillId="0" borderId="1" xfId="2" applyFont="1" applyBorder="1" applyAlignment="1" applyProtection="1">
      <alignment horizontal="left" vertical="center"/>
    </xf>
    <xf numFmtId="167" fontId="5" fillId="0" borderId="1" xfId="2" applyFont="1" applyBorder="1" applyAlignment="1" applyProtection="1">
      <alignment horizontal="left" vertical="center"/>
    </xf>
    <xf numFmtId="0" fontId="5" fillId="0" borderId="1" xfId="4" applyFont="1" applyBorder="1" applyAlignment="1" applyProtection="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167" fontId="0" fillId="0" borderId="0" xfId="2" applyFont="1" applyBorder="1" applyAlignment="1" applyProtection="1">
      <alignment horizontal="left" vertical="center"/>
    </xf>
    <xf numFmtId="0" fontId="3" fillId="0" borderId="1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0" fontId="3" fillId="0" borderId="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0" fontId="5" fillId="4" borderId="11" xfId="4" applyFont="1" applyFill="1" applyBorder="1" applyAlignment="1" applyProtection="1">
      <alignment horizontal="center" vertical="center" wrapText="1"/>
    </xf>
    <xf numFmtId="0" fontId="5" fillId="4" borderId="4" xfId="4" applyFont="1" applyFill="1" applyBorder="1" applyAlignment="1" applyProtection="1">
      <alignment horizontal="center" vertical="center" wrapText="1"/>
    </xf>
    <xf numFmtId="0" fontId="3" fillId="0" borderId="1" xfId="4" applyFont="1" applyBorder="1" applyAlignment="1" applyProtection="1">
      <alignment horizontal="center" vertical="center" wrapText="1"/>
    </xf>
    <xf numFmtId="0" fontId="3" fillId="0" borderId="1" xfId="4"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4" fontId="3" fillId="0" borderId="1" xfId="4" applyNumberFormat="1" applyFont="1" applyFill="1" applyBorder="1" applyAlignment="1" applyProtection="1">
      <alignment horizontal="right" vertical="center" wrapText="1"/>
    </xf>
    <xf numFmtId="0" fontId="16" fillId="0" borderId="1" xfId="4" applyFont="1" applyBorder="1" applyAlignment="1" applyProtection="1">
      <alignment horizontal="center" vertical="center"/>
    </xf>
    <xf numFmtId="0" fontId="3" fillId="0" borderId="11"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0" fontId="3" fillId="0" borderId="1" xfId="4" applyFont="1" applyBorder="1" applyAlignment="1" applyProtection="1">
      <alignment horizontal="center" vertical="center" wrapText="1"/>
    </xf>
    <xf numFmtId="0" fontId="3" fillId="0" borderId="1" xfId="4" applyFont="1" applyFill="1" applyBorder="1" applyAlignment="1" applyProtection="1">
      <alignment horizontal="center" vertical="center" wrapText="1"/>
    </xf>
    <xf numFmtId="0" fontId="3" fillId="0" borderId="1" xfId="4" applyFont="1" applyBorder="1" applyAlignment="1" applyProtection="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left" vertical="center" wrapText="1"/>
    </xf>
    <xf numFmtId="168" fontId="28" fillId="0" borderId="1" xfId="0" applyNumberFormat="1" applyFont="1" applyBorder="1" applyAlignment="1">
      <alignment horizontal="center" vertical="center"/>
    </xf>
    <xf numFmtId="166" fontId="28" fillId="0" borderId="1" xfId="0" applyNumberFormat="1" applyFont="1" applyBorder="1" applyAlignment="1">
      <alignment horizontal="center" vertical="center"/>
    </xf>
    <xf numFmtId="0" fontId="28" fillId="0" borderId="1" xfId="0" applyFont="1" applyBorder="1" applyAlignment="1">
      <alignment horizontal="left" vertical="center"/>
    </xf>
    <xf numFmtId="2" fontId="28" fillId="0" borderId="1" xfId="0" applyNumberFormat="1" applyFont="1" applyBorder="1" applyAlignment="1">
      <alignment horizontal="center" vertical="center"/>
    </xf>
    <xf numFmtId="167" fontId="28" fillId="0" borderId="1" xfId="2" applyFont="1" applyBorder="1" applyAlignment="1">
      <alignment horizontal="center" vertical="center"/>
    </xf>
    <xf numFmtId="43" fontId="8" fillId="0" borderId="0" xfId="4" applyNumberFormat="1" applyFont="1" applyFill="1" applyBorder="1" applyAlignment="1" applyProtection="1">
      <alignment vertical="center"/>
    </xf>
    <xf numFmtId="16" fontId="0" fillId="0" borderId="0" xfId="0" applyNumberFormat="1"/>
    <xf numFmtId="0" fontId="3" fillId="0" borderId="3"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xf>
    <xf numFmtId="0" fontId="16" fillId="0" borderId="1" xfId="10" applyFont="1" applyFill="1" applyBorder="1" applyAlignment="1">
      <alignment horizontal="center" vertical="center" wrapText="1"/>
    </xf>
    <xf numFmtId="0" fontId="16" fillId="0" borderId="1" xfId="5" applyFont="1" applyFill="1" applyBorder="1" applyAlignment="1">
      <alignment horizontal="left" vertical="center" wrapText="1"/>
    </xf>
    <xf numFmtId="0" fontId="16" fillId="0" borderId="1" xfId="10" applyFont="1" applyFill="1" applyBorder="1" applyAlignment="1">
      <alignment horizontal="center" vertical="center" wrapText="1"/>
    </xf>
    <xf numFmtId="0" fontId="16" fillId="0" borderId="1" xfId="10" applyFont="1" applyFill="1" applyBorder="1" applyAlignment="1">
      <alignment horizontal="center" vertical="center"/>
    </xf>
    <xf numFmtId="0" fontId="16" fillId="0" borderId="1" xfId="5" applyFont="1" applyFill="1" applyBorder="1" applyAlignment="1">
      <alignment horizontal="left" vertical="center" wrapText="1"/>
    </xf>
    <xf numFmtId="0" fontId="3" fillId="0" borderId="1" xfId="4" applyFont="1" applyBorder="1" applyAlignment="1" applyProtection="1">
      <alignment horizontal="left" vertical="center" wrapText="1"/>
    </xf>
    <xf numFmtId="0" fontId="3" fillId="0" borderId="3" xfId="4" applyFont="1" applyBorder="1" applyAlignment="1" applyProtection="1">
      <alignment horizontal="center" vertical="center" wrapText="1"/>
    </xf>
    <xf numFmtId="164" fontId="3" fillId="0" borderId="3" xfId="1" applyFont="1" applyBorder="1" applyAlignment="1" applyProtection="1">
      <alignment horizontal="right" vertical="center"/>
    </xf>
    <xf numFmtId="0" fontId="13" fillId="0" borderId="0" xfId="0" applyFont="1"/>
    <xf numFmtId="164" fontId="5" fillId="0" borderId="2" xfId="1" applyFont="1" applyBorder="1" applyAlignment="1" applyProtection="1">
      <alignment horizontal="center" vertical="center" wrapText="1"/>
    </xf>
    <xf numFmtId="164" fontId="5" fillId="0" borderId="4" xfId="1" applyFont="1" applyBorder="1" applyAlignment="1" applyProtection="1">
      <alignment horizontal="center" vertical="center" wrapText="1"/>
    </xf>
    <xf numFmtId="0" fontId="3" fillId="0" borderId="11" xfId="4" applyFont="1" applyFill="1" applyBorder="1" applyAlignment="1" applyProtection="1">
      <alignment horizontal="center" vertical="center" wrapText="1"/>
    </xf>
    <xf numFmtId="0" fontId="3" fillId="0" borderId="4" xfId="4" applyFont="1" applyFill="1" applyBorder="1" applyAlignment="1" applyProtection="1">
      <alignment horizontal="center" vertical="center" wrapText="1"/>
    </xf>
    <xf numFmtId="0" fontId="5" fillId="0" borderId="2" xfId="4" applyFont="1" applyBorder="1" applyAlignment="1" applyProtection="1">
      <alignment horizontal="right" vertical="center" wrapText="1"/>
    </xf>
    <xf numFmtId="0" fontId="5" fillId="0" borderId="11" xfId="4" applyFont="1" applyBorder="1" applyAlignment="1" applyProtection="1">
      <alignment horizontal="right" vertical="center" wrapText="1"/>
    </xf>
    <xf numFmtId="0" fontId="5" fillId="0" borderId="4" xfId="4" applyFont="1" applyBorder="1" applyAlignment="1" applyProtection="1">
      <alignment horizontal="right" vertical="center" wrapText="1"/>
    </xf>
    <xf numFmtId="0" fontId="3" fillId="0" borderId="11" xfId="4" applyFont="1" applyBorder="1" applyAlignment="1" applyProtection="1">
      <alignment horizontal="center" vertical="center"/>
    </xf>
    <xf numFmtId="0" fontId="5" fillId="0" borderId="7" xfId="4" applyFont="1" applyBorder="1" applyAlignment="1" applyProtection="1">
      <alignment horizontal="right" vertical="center" wrapText="1"/>
    </xf>
    <xf numFmtId="0" fontId="5" fillId="0" borderId="10" xfId="4" applyFont="1" applyBorder="1" applyAlignment="1" applyProtection="1">
      <alignment horizontal="right" vertical="center" wrapText="1"/>
    </xf>
    <xf numFmtId="0" fontId="5" fillId="0" borderId="8" xfId="4" applyFont="1" applyBorder="1" applyAlignment="1" applyProtection="1">
      <alignment horizontal="right" vertical="center" wrapText="1"/>
    </xf>
    <xf numFmtId="0" fontId="5" fillId="0" borderId="2" xfId="4" applyFont="1" applyFill="1" applyBorder="1" applyAlignment="1" applyProtection="1">
      <alignment horizontal="left" vertical="center" wrapText="1"/>
    </xf>
    <xf numFmtId="0" fontId="5" fillId="0" borderId="11" xfId="4" applyFont="1" applyFill="1" applyBorder="1" applyAlignment="1" applyProtection="1">
      <alignment horizontal="left" vertical="center" wrapText="1"/>
    </xf>
    <xf numFmtId="0" fontId="5" fillId="0" borderId="4" xfId="4" applyFont="1" applyFill="1" applyBorder="1" applyAlignment="1" applyProtection="1">
      <alignment horizontal="left" vertical="center" wrapText="1"/>
    </xf>
    <xf numFmtId="0" fontId="5" fillId="4" borderId="11" xfId="4" applyFont="1" applyFill="1" applyBorder="1" applyAlignment="1" applyProtection="1">
      <alignment horizontal="center" vertical="center"/>
    </xf>
    <xf numFmtId="0" fontId="5" fillId="4" borderId="4" xfId="4" applyFont="1" applyFill="1" applyBorder="1" applyAlignment="1" applyProtection="1">
      <alignment horizontal="center" vertical="center"/>
    </xf>
    <xf numFmtId="0" fontId="9" fillId="0" borderId="1" xfId="4" applyFont="1" applyBorder="1" applyAlignment="1" applyProtection="1">
      <alignment horizontal="center" wrapText="1"/>
    </xf>
    <xf numFmtId="0" fontId="5" fillId="0" borderId="2" xfId="4" applyFont="1" applyFill="1" applyBorder="1" applyAlignment="1" applyProtection="1">
      <alignment horizontal="right" vertical="center" wrapText="1"/>
    </xf>
    <xf numFmtId="0" fontId="5" fillId="0" borderId="11" xfId="4" applyFont="1" applyFill="1" applyBorder="1" applyAlignment="1" applyProtection="1">
      <alignment horizontal="right" vertical="center" wrapText="1"/>
    </xf>
    <xf numFmtId="0" fontId="5" fillId="0" borderId="4" xfId="4" applyFont="1" applyFill="1" applyBorder="1" applyAlignment="1" applyProtection="1">
      <alignment horizontal="right" vertical="center" wrapText="1"/>
    </xf>
    <xf numFmtId="0" fontId="17" fillId="0" borderId="2" xfId="4" applyFont="1" applyBorder="1" applyAlignment="1" applyProtection="1">
      <alignment horizontal="right" vertical="center" wrapText="1"/>
    </xf>
    <xf numFmtId="0" fontId="17" fillId="0" borderId="11" xfId="4" applyFont="1" applyBorder="1" applyAlignment="1" applyProtection="1">
      <alignment horizontal="right" vertical="center" wrapText="1"/>
    </xf>
    <xf numFmtId="0" fontId="17" fillId="0" borderId="4" xfId="4" applyFont="1" applyBorder="1" applyAlignment="1" applyProtection="1">
      <alignment horizontal="right" vertical="center" wrapText="1"/>
    </xf>
    <xf numFmtId="164" fontId="5" fillId="0" borderId="2" xfId="1" applyFont="1" applyFill="1" applyBorder="1" applyAlignment="1" applyProtection="1">
      <alignment horizontal="center" vertical="center" wrapText="1"/>
    </xf>
    <xf numFmtId="164" fontId="5" fillId="0" borderId="4" xfId="1" applyFont="1" applyFill="1" applyBorder="1" applyAlignment="1" applyProtection="1">
      <alignment horizontal="center" vertical="center" wrapText="1"/>
    </xf>
    <xf numFmtId="49" fontId="5" fillId="4" borderId="2" xfId="4" applyNumberFormat="1" applyFont="1" applyFill="1" applyBorder="1" applyAlignment="1" applyProtection="1">
      <alignment horizontal="right" vertical="center"/>
    </xf>
    <xf numFmtId="49" fontId="5" fillId="4" borderId="11" xfId="4" applyNumberFormat="1" applyFont="1" applyFill="1" applyBorder="1" applyAlignment="1" applyProtection="1">
      <alignment horizontal="right" vertical="center"/>
    </xf>
    <xf numFmtId="49" fontId="5" fillId="4" borderId="4" xfId="4" applyNumberFormat="1" applyFont="1" applyFill="1" applyBorder="1" applyAlignment="1" applyProtection="1">
      <alignment horizontal="right" vertical="center"/>
    </xf>
    <xf numFmtId="164" fontId="5" fillId="4" borderId="2" xfId="1" applyFont="1" applyFill="1" applyBorder="1" applyAlignment="1" applyProtection="1">
      <alignment horizontal="center" vertical="center"/>
    </xf>
    <xf numFmtId="164" fontId="5" fillId="4" borderId="4" xfId="1" applyFont="1" applyFill="1" applyBorder="1" applyAlignment="1" applyProtection="1">
      <alignment horizontal="center" vertical="center"/>
    </xf>
    <xf numFmtId="0" fontId="5" fillId="4" borderId="2" xfId="4" applyFont="1" applyFill="1" applyBorder="1" applyAlignment="1" applyProtection="1">
      <alignment horizontal="left" vertical="center" wrapText="1"/>
    </xf>
    <xf numFmtId="0" fontId="5" fillId="4" borderId="11" xfId="4" applyFont="1" applyFill="1" applyBorder="1" applyAlignment="1" applyProtection="1">
      <alignment horizontal="left" vertical="center" wrapText="1"/>
    </xf>
    <xf numFmtId="0" fontId="5" fillId="4" borderId="4" xfId="4" applyFont="1" applyFill="1" applyBorder="1" applyAlignment="1" applyProtection="1">
      <alignment horizontal="left" vertical="center" wrapText="1"/>
    </xf>
    <xf numFmtId="0" fontId="3" fillId="0" borderId="1" xfId="4" applyFont="1" applyBorder="1" applyAlignment="1" applyProtection="1">
      <alignment horizontal="left" vertical="center"/>
      <protection locked="0"/>
    </xf>
    <xf numFmtId="0" fontId="3" fillId="0" borderId="7" xfId="4" applyFont="1" applyBorder="1" applyAlignment="1" applyProtection="1">
      <alignment horizontal="center"/>
    </xf>
    <xf numFmtId="0" fontId="3" fillId="0" borderId="10" xfId="4" applyFont="1" applyBorder="1" applyAlignment="1" applyProtection="1">
      <alignment horizontal="center"/>
    </xf>
    <xf numFmtId="0" fontId="3" fillId="0" borderId="8" xfId="4" applyFont="1" applyBorder="1" applyAlignment="1" applyProtection="1">
      <alignment horizontal="center"/>
    </xf>
    <xf numFmtId="0" fontId="3" fillId="0" borderId="13" xfId="4" applyFont="1" applyBorder="1" applyAlignment="1" applyProtection="1">
      <alignment horizontal="center"/>
    </xf>
    <xf numFmtId="0" fontId="3" fillId="0" borderId="0" xfId="4" applyFont="1" applyBorder="1" applyAlignment="1" applyProtection="1">
      <alignment horizontal="center"/>
    </xf>
    <xf numFmtId="0" fontId="3" fillId="0" borderId="14" xfId="4" applyFont="1" applyBorder="1" applyAlignment="1" applyProtection="1">
      <alignment horizontal="center"/>
    </xf>
    <xf numFmtId="0" fontId="3" fillId="0" borderId="6" xfId="4" applyFont="1" applyBorder="1" applyAlignment="1" applyProtection="1">
      <alignment horizontal="center"/>
    </xf>
    <xf numFmtId="0" fontId="3" fillId="0" borderId="12" xfId="4" applyFont="1" applyBorder="1" applyAlignment="1" applyProtection="1">
      <alignment horizontal="center"/>
    </xf>
    <xf numFmtId="0" fontId="3" fillId="0" borderId="9" xfId="4" applyFont="1" applyBorder="1" applyAlignment="1" applyProtection="1">
      <alignment horizontal="center"/>
    </xf>
    <xf numFmtId="0" fontId="21" fillId="5" borderId="2" xfId="4" applyFont="1" applyFill="1" applyBorder="1" applyAlignment="1" applyProtection="1">
      <alignment horizontal="center" vertical="top" wrapText="1"/>
    </xf>
    <xf numFmtId="0" fontId="21" fillId="5" borderId="11" xfId="4" applyFont="1" applyFill="1" applyBorder="1" applyAlignment="1" applyProtection="1">
      <alignment horizontal="center" vertical="top" wrapText="1"/>
    </xf>
    <xf numFmtId="0" fontId="21" fillId="5" borderId="4" xfId="4" applyFont="1" applyFill="1" applyBorder="1" applyAlignment="1" applyProtection="1">
      <alignment horizontal="center" vertical="top" wrapText="1"/>
    </xf>
    <xf numFmtId="0" fontId="18" fillId="2" borderId="2" xfId="4" applyFont="1" applyFill="1" applyBorder="1" applyAlignment="1" applyProtection="1">
      <alignment horizontal="left" vertical="center" wrapText="1"/>
    </xf>
    <xf numFmtId="0" fontId="18" fillId="2" borderId="11" xfId="4" applyFont="1" applyFill="1" applyBorder="1" applyAlignment="1" applyProtection="1">
      <alignment horizontal="left" vertical="center" wrapText="1"/>
    </xf>
    <xf numFmtId="0" fontId="18" fillId="2" borderId="4" xfId="4" applyFont="1" applyFill="1" applyBorder="1" applyAlignment="1" applyProtection="1">
      <alignment horizontal="left" vertical="center" wrapText="1"/>
    </xf>
    <xf numFmtId="0" fontId="18" fillId="2" borderId="2" xfId="4" applyFont="1" applyFill="1" applyBorder="1" applyAlignment="1" applyProtection="1">
      <alignment vertical="center"/>
    </xf>
    <xf numFmtId="0" fontId="18" fillId="2" borderId="11" xfId="4" applyFont="1" applyFill="1" applyBorder="1" applyAlignment="1" applyProtection="1">
      <alignment vertical="center"/>
    </xf>
    <xf numFmtId="0" fontId="18" fillId="2" borderId="4" xfId="4" applyFont="1" applyFill="1" applyBorder="1" applyAlignment="1" applyProtection="1">
      <alignment vertical="center"/>
    </xf>
    <xf numFmtId="0" fontId="18" fillId="2" borderId="2" xfId="4" applyFont="1" applyFill="1" applyBorder="1" applyAlignment="1" applyProtection="1">
      <alignment horizontal="left" vertical="center"/>
    </xf>
    <xf numFmtId="0" fontId="18" fillId="2" borderId="11" xfId="4" applyFont="1" applyFill="1" applyBorder="1" applyAlignment="1" applyProtection="1">
      <alignment horizontal="left" vertical="center"/>
    </xf>
    <xf numFmtId="0" fontId="3" fillId="0" borderId="10" xfId="4" applyFont="1" applyBorder="1" applyAlignment="1" applyProtection="1">
      <alignment horizontal="center" vertical="center"/>
    </xf>
    <xf numFmtId="164" fontId="17" fillId="0" borderId="2" xfId="1" applyFont="1" applyFill="1" applyBorder="1" applyAlignment="1" applyProtection="1">
      <alignment horizontal="center" vertical="center"/>
    </xf>
    <xf numFmtId="164" fontId="17" fillId="0" borderId="4" xfId="1" applyFont="1" applyFill="1" applyBorder="1" applyAlignment="1" applyProtection="1">
      <alignment horizontal="center" vertical="center"/>
    </xf>
    <xf numFmtId="0" fontId="16" fillId="0" borderId="0" xfId="0" applyFont="1" applyFill="1" applyBorder="1" applyAlignment="1">
      <alignment horizontal="left" vertical="center"/>
    </xf>
    <xf numFmtId="0" fontId="16" fillId="7" borderId="3" xfId="4" applyFont="1" applyFill="1" applyBorder="1" applyAlignment="1" applyProtection="1">
      <alignment horizontal="center" vertical="center"/>
    </xf>
    <xf numFmtId="0" fontId="16" fillId="7" borderId="15" xfId="4" applyFont="1" applyFill="1" applyBorder="1" applyAlignment="1" applyProtection="1">
      <alignment horizontal="center" vertical="center"/>
    </xf>
    <xf numFmtId="0" fontId="16" fillId="7" borderId="5" xfId="4" applyFont="1" applyFill="1" applyBorder="1" applyAlignment="1" applyProtection="1">
      <alignment horizontal="center" vertical="center"/>
    </xf>
    <xf numFmtId="0" fontId="16" fillId="0" borderId="10" xfId="0" applyFont="1" applyFill="1" applyBorder="1" applyAlignment="1">
      <alignment vertical="center" wrapText="1"/>
    </xf>
    <xf numFmtId="0" fontId="16" fillId="0" borderId="12" xfId="0" applyFont="1" applyFill="1" applyBorder="1" applyAlignment="1">
      <alignment horizontal="right" vertical="center"/>
    </xf>
    <xf numFmtId="0" fontId="3" fillId="0" borderId="3" xfId="4" applyFont="1" applyFill="1" applyBorder="1" applyAlignment="1" applyProtection="1">
      <alignment horizontal="center" vertical="center" wrapText="1"/>
    </xf>
    <xf numFmtId="0" fontId="3" fillId="0" borderId="15" xfId="4" applyFont="1" applyFill="1" applyBorder="1" applyAlignment="1" applyProtection="1">
      <alignment horizontal="center" vertical="center" wrapText="1"/>
    </xf>
    <xf numFmtId="0" fontId="3" fillId="0" borderId="5" xfId="4" applyFont="1" applyFill="1" applyBorder="1" applyAlignment="1" applyProtection="1">
      <alignment horizontal="center" vertical="center" wrapText="1"/>
    </xf>
    <xf numFmtId="49" fontId="16" fillId="0" borderId="0" xfId="0" applyNumberFormat="1"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5" fillId="0" borderId="2" xfId="4" applyFont="1" applyBorder="1" applyAlignment="1" applyProtection="1">
      <alignment horizontal="center" vertical="center" wrapText="1"/>
    </xf>
    <xf numFmtId="0" fontId="5" fillId="0" borderId="11" xfId="4" applyFont="1" applyBorder="1" applyAlignment="1" applyProtection="1">
      <alignment horizontal="center" vertical="center" wrapText="1"/>
    </xf>
    <xf numFmtId="0" fontId="5" fillId="0" borderId="4" xfId="4" applyFont="1" applyBorder="1" applyAlignment="1" applyProtection="1">
      <alignment horizontal="center" vertical="center" wrapText="1"/>
    </xf>
    <xf numFmtId="0" fontId="3" fillId="0" borderId="3" xfId="4" applyFont="1" applyFill="1" applyBorder="1" applyAlignment="1" applyProtection="1">
      <alignment horizontal="center" vertical="center"/>
    </xf>
    <xf numFmtId="0" fontId="3" fillId="0" borderId="15" xfId="4" applyFont="1" applyFill="1" applyBorder="1" applyAlignment="1" applyProtection="1">
      <alignment horizontal="center" vertical="center"/>
    </xf>
    <xf numFmtId="0" fontId="3" fillId="0" borderId="5" xfId="4" applyFont="1" applyFill="1" applyBorder="1" applyAlignment="1" applyProtection="1">
      <alignment horizontal="center" vertical="center"/>
    </xf>
    <xf numFmtId="0" fontId="3" fillId="0" borderId="7" xfId="4" applyFont="1" applyFill="1" applyBorder="1" applyAlignment="1" applyProtection="1">
      <alignment horizontal="center" vertical="center" wrapText="1"/>
    </xf>
    <xf numFmtId="0" fontId="3" fillId="0" borderId="13" xfId="4" applyFont="1" applyFill="1" applyBorder="1" applyAlignment="1" applyProtection="1">
      <alignment horizontal="center" vertical="center" wrapText="1"/>
    </xf>
    <xf numFmtId="0" fontId="3" fillId="0" borderId="6" xfId="4" applyFont="1" applyFill="1" applyBorder="1" applyAlignment="1" applyProtection="1">
      <alignment horizontal="center" vertical="center" wrapText="1"/>
    </xf>
    <xf numFmtId="0" fontId="16" fillId="0" borderId="7" xfId="4" applyNumberFormat="1" applyFont="1" applyFill="1" applyBorder="1" applyAlignment="1">
      <alignment horizontal="center" vertical="center"/>
    </xf>
    <xf numFmtId="0" fontId="16" fillId="0" borderId="13" xfId="4" applyNumberFormat="1" applyFont="1" applyFill="1" applyBorder="1" applyAlignment="1">
      <alignment horizontal="center" vertical="center"/>
    </xf>
    <xf numFmtId="0" fontId="16" fillId="0" borderId="6" xfId="4" applyNumberFormat="1" applyFont="1" applyFill="1" applyBorder="1" applyAlignment="1">
      <alignment horizontal="center" vertical="center"/>
    </xf>
    <xf numFmtId="0" fontId="3" fillId="0" borderId="7" xfId="4" applyFont="1" applyFill="1" applyBorder="1" applyAlignment="1" applyProtection="1">
      <alignment horizontal="center" vertical="center"/>
    </xf>
    <xf numFmtId="0" fontId="3" fillId="0" borderId="13"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16" fillId="0" borderId="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 fillId="0" borderId="1" xfId="4" applyFont="1" applyFill="1" applyBorder="1" applyAlignment="1" applyProtection="1">
      <alignment horizontal="center" vertical="center" wrapText="1"/>
    </xf>
    <xf numFmtId="49" fontId="5" fillId="3" borderId="2" xfId="4" applyNumberFormat="1" applyFont="1" applyFill="1" applyBorder="1" applyAlignment="1" applyProtection="1">
      <alignment horizontal="center" vertical="center" wrapText="1"/>
    </xf>
    <xf numFmtId="49" fontId="5" fillId="3" borderId="11" xfId="4" applyNumberFormat="1" applyFont="1" applyFill="1" applyBorder="1" applyAlignment="1" applyProtection="1">
      <alignment horizontal="center" vertical="center" wrapText="1"/>
    </xf>
    <xf numFmtId="49" fontId="5" fillId="3" borderId="4" xfId="4" applyNumberFormat="1" applyFont="1" applyFill="1" applyBorder="1" applyAlignment="1" applyProtection="1">
      <alignment horizontal="center" vertical="center" wrapText="1"/>
    </xf>
    <xf numFmtId="0" fontId="5" fillId="0" borderId="11" xfId="4" applyFont="1" applyBorder="1" applyAlignment="1" applyProtection="1">
      <alignment horizontal="center" wrapText="1"/>
    </xf>
    <xf numFmtId="0" fontId="18" fillId="0" borderId="11" xfId="4" applyFont="1" applyBorder="1" applyAlignment="1" applyProtection="1">
      <alignment horizontal="center" vertical="center"/>
    </xf>
    <xf numFmtId="0" fontId="3" fillId="0" borderId="1" xfId="4" applyFont="1" applyFill="1" applyBorder="1" applyAlignment="1" applyProtection="1">
      <alignment horizontal="center" vertical="center"/>
    </xf>
    <xf numFmtId="2" fontId="16" fillId="0" borderId="0" xfId="0" applyNumberFormat="1" applyFont="1" applyFill="1" applyBorder="1" applyAlignment="1">
      <alignment horizontal="left" vertical="center"/>
    </xf>
    <xf numFmtId="0" fontId="16" fillId="0" borderId="3" xfId="4" applyFont="1" applyFill="1" applyBorder="1" applyAlignment="1" applyProtection="1">
      <alignment horizontal="center" vertical="center" wrapText="1"/>
    </xf>
    <xf numFmtId="0" fontId="16" fillId="0" borderId="15" xfId="4" applyFont="1" applyFill="1" applyBorder="1" applyAlignment="1" applyProtection="1">
      <alignment horizontal="center" vertical="center" wrapText="1"/>
    </xf>
    <xf numFmtId="0" fontId="16" fillId="0" borderId="5" xfId="4" applyFont="1" applyFill="1" applyBorder="1" applyAlignment="1" applyProtection="1">
      <alignment horizontal="center" vertical="center" wrapText="1"/>
    </xf>
    <xf numFmtId="0" fontId="9" fillId="0" borderId="7" xfId="4" applyFont="1" applyBorder="1" applyAlignment="1" applyProtection="1">
      <alignment horizontal="center" wrapText="1"/>
    </xf>
    <xf numFmtId="0" fontId="9" fillId="0" borderId="10" xfId="4" applyFont="1" applyBorder="1" applyAlignment="1" applyProtection="1">
      <alignment horizontal="center" wrapText="1"/>
    </xf>
    <xf numFmtId="0" fontId="9" fillId="0" borderId="8" xfId="4" applyFont="1" applyBorder="1" applyAlignment="1" applyProtection="1">
      <alignment horizontal="center" wrapText="1"/>
    </xf>
    <xf numFmtId="0" fontId="9" fillId="0" borderId="13" xfId="4" applyFont="1" applyBorder="1" applyAlignment="1" applyProtection="1">
      <alignment horizontal="center" wrapText="1"/>
    </xf>
    <xf numFmtId="0" fontId="9" fillId="0" borderId="0" xfId="4" applyFont="1" applyBorder="1" applyAlignment="1" applyProtection="1">
      <alignment horizontal="center" wrapText="1"/>
    </xf>
    <xf numFmtId="0" fontId="9" fillId="0" borderId="14" xfId="4" applyFont="1" applyBorder="1" applyAlignment="1" applyProtection="1">
      <alignment horizontal="center" wrapText="1"/>
    </xf>
    <xf numFmtId="0" fontId="9" fillId="0" borderId="6" xfId="4" applyFont="1" applyBorder="1" applyAlignment="1" applyProtection="1">
      <alignment horizontal="center" wrapText="1"/>
    </xf>
    <xf numFmtId="0" fontId="9" fillId="0" borderId="12" xfId="4" applyFont="1" applyBorder="1" applyAlignment="1" applyProtection="1">
      <alignment horizontal="center" wrapText="1"/>
    </xf>
    <xf numFmtId="0" fontId="9" fillId="0" borderId="9" xfId="4" applyFont="1" applyBorder="1" applyAlignment="1" applyProtection="1">
      <alignment horizontal="center" wrapText="1"/>
    </xf>
    <xf numFmtId="0" fontId="3" fillId="0" borderId="2" xfId="4" applyFont="1" applyBorder="1" applyAlignment="1" applyProtection="1">
      <alignment horizontal="left" vertical="center"/>
      <protection locked="0"/>
    </xf>
    <xf numFmtId="0" fontId="3" fillId="0" borderId="11" xfId="4" applyFont="1" applyBorder="1" applyAlignment="1" applyProtection="1">
      <alignment horizontal="left" vertical="center"/>
      <protection locked="0"/>
    </xf>
    <xf numFmtId="0" fontId="3" fillId="0" borderId="4" xfId="4" applyFont="1" applyBorder="1" applyAlignment="1" applyProtection="1">
      <alignment horizontal="left" vertical="center"/>
      <protection locked="0"/>
    </xf>
    <xf numFmtId="0" fontId="9" fillId="0" borderId="11" xfId="4" applyFont="1" applyBorder="1" applyAlignment="1" applyProtection="1">
      <alignment horizontal="center" wrapText="1"/>
    </xf>
    <xf numFmtId="0" fontId="3" fillId="0" borderId="10" xfId="4" applyFont="1" applyFill="1" applyBorder="1" applyAlignment="1" applyProtection="1">
      <alignment horizontal="center" vertical="center" wrapText="1"/>
    </xf>
    <xf numFmtId="0" fontId="3" fillId="0" borderId="8" xfId="4" applyFont="1" applyFill="1" applyBorder="1" applyAlignment="1" applyProtection="1">
      <alignment horizontal="center" vertical="center" wrapText="1"/>
    </xf>
    <xf numFmtId="0" fontId="5" fillId="0" borderId="7" xfId="4" applyFont="1" applyFill="1" applyBorder="1" applyAlignment="1" applyProtection="1">
      <alignment horizontal="left" vertical="center" wrapText="1"/>
    </xf>
    <xf numFmtId="0" fontId="5" fillId="0" borderId="10" xfId="4" applyFont="1" applyFill="1" applyBorder="1" applyAlignment="1" applyProtection="1">
      <alignment horizontal="left" vertical="center" wrapText="1"/>
    </xf>
    <xf numFmtId="0" fontId="5" fillId="0" borderId="8" xfId="4" applyFont="1" applyFill="1" applyBorder="1" applyAlignment="1" applyProtection="1">
      <alignment horizontal="left" vertical="center" wrapText="1"/>
    </xf>
    <xf numFmtId="0" fontId="16" fillId="0" borderId="3" xfId="4" applyFont="1" applyFill="1" applyBorder="1" applyAlignment="1" applyProtection="1">
      <alignment horizontal="center" vertical="center"/>
    </xf>
    <xf numFmtId="0" fontId="16" fillId="0" borderId="15" xfId="4" applyFont="1" applyFill="1" applyBorder="1" applyAlignment="1" applyProtection="1">
      <alignment horizontal="center" vertical="center"/>
    </xf>
    <xf numFmtId="0" fontId="16" fillId="0" borderId="5" xfId="4" applyFont="1" applyFill="1" applyBorder="1" applyAlignment="1" applyProtection="1">
      <alignment horizontal="center" vertical="center"/>
    </xf>
    <xf numFmtId="0" fontId="5" fillId="4" borderId="11" xfId="4" applyFont="1" applyFill="1" applyBorder="1" applyAlignment="1" applyProtection="1">
      <alignment horizontal="center" vertical="center" wrapText="1"/>
    </xf>
    <xf numFmtId="0" fontId="5" fillId="4" borderId="4" xfId="4" applyFont="1" applyFill="1" applyBorder="1" applyAlignment="1" applyProtection="1">
      <alignment horizontal="center" vertical="center" wrapText="1"/>
    </xf>
    <xf numFmtId="0" fontId="3" fillId="0" borderId="1" xfId="4" applyFont="1" applyBorder="1" applyAlignment="1" applyProtection="1">
      <alignment horizontal="center"/>
    </xf>
    <xf numFmtId="0" fontId="5" fillId="3" borderId="1" xfId="4" applyFont="1" applyFill="1" applyBorder="1" applyAlignment="1" applyProtection="1">
      <alignment horizontal="center" vertical="center"/>
    </xf>
    <xf numFmtId="164" fontId="5" fillId="3" borderId="1" xfId="4" applyNumberFormat="1" applyFont="1" applyFill="1" applyBorder="1" applyAlignment="1" applyProtection="1">
      <alignment horizontal="center" vertical="center"/>
    </xf>
    <xf numFmtId="10" fontId="5" fillId="3" borderId="1" xfId="4" applyNumberFormat="1" applyFont="1" applyFill="1" applyBorder="1" applyAlignment="1" applyProtection="1">
      <alignment horizontal="center" vertical="center"/>
    </xf>
    <xf numFmtId="0" fontId="5" fillId="0" borderId="1" xfId="4" applyFont="1" applyBorder="1" applyAlignment="1" applyProtection="1">
      <alignment horizontal="center" vertical="center"/>
    </xf>
    <xf numFmtId="164" fontId="5" fillId="0" borderId="1" xfId="4" applyNumberFormat="1" applyFont="1" applyFill="1" applyBorder="1" applyAlignment="1" applyProtection="1">
      <alignment horizontal="center" vertical="center"/>
    </xf>
    <xf numFmtId="10" fontId="5" fillId="0" borderId="1" xfId="4" applyNumberFormat="1" applyFont="1" applyFill="1" applyBorder="1" applyAlignment="1" applyProtection="1">
      <alignment horizontal="center" vertical="center"/>
    </xf>
    <xf numFmtId="0" fontId="18" fillId="2" borderId="1" xfId="4" applyFont="1" applyFill="1" applyBorder="1" applyAlignment="1" applyProtection="1">
      <alignment horizontal="left" vertical="center"/>
    </xf>
    <xf numFmtId="0" fontId="24" fillId="5" borderId="1" xfId="4" applyFont="1" applyFill="1" applyBorder="1" applyAlignment="1" applyProtection="1">
      <alignment horizontal="center" vertical="top" wrapText="1"/>
    </xf>
    <xf numFmtId="0" fontId="10" fillId="5" borderId="1" xfId="0" applyFont="1" applyFill="1" applyBorder="1" applyAlignment="1">
      <alignment horizontal="center"/>
    </xf>
    <xf numFmtId="0" fontId="18" fillId="2" borderId="1" xfId="4" applyFont="1" applyFill="1" applyBorder="1" applyAlignment="1" applyProtection="1">
      <alignment vertical="center" wrapText="1"/>
    </xf>
    <xf numFmtId="0" fontId="18" fillId="2" borderId="1" xfId="4" applyFont="1" applyFill="1" applyBorder="1" applyAlignment="1" applyProtection="1">
      <alignment horizontal="left" vertical="center" wrapText="1"/>
    </xf>
    <xf numFmtId="0" fontId="17" fillId="3" borderId="1" xfId="4" applyFont="1" applyFill="1" applyBorder="1" applyAlignment="1" applyProtection="1">
      <alignment horizontal="center" vertical="center"/>
    </xf>
    <xf numFmtId="0" fontId="20" fillId="0" borderId="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right" vertical="center"/>
    </xf>
    <xf numFmtId="0" fontId="13" fillId="0" borderId="1" xfId="0" applyFont="1" applyFill="1" applyBorder="1" applyAlignment="1">
      <alignment horizontal="left" vertical="center"/>
    </xf>
    <xf numFmtId="0" fontId="11" fillId="0" borderId="1" xfId="0" applyFont="1" applyBorder="1" applyAlignment="1">
      <alignment horizontal="center" vertical="center" wrapText="1"/>
    </xf>
    <xf numFmtId="0" fontId="14" fillId="6" borderId="1" xfId="0" applyFont="1" applyFill="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8" fillId="0" borderId="1" xfId="0" applyFont="1" applyBorder="1" applyAlignment="1">
      <alignment horizontal="left"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right" vertical="center"/>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4" fillId="0"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0" borderId="1" xfId="0" applyFont="1" applyBorder="1" applyAlignment="1">
      <alignment vertical="center"/>
    </xf>
    <xf numFmtId="0" fontId="13" fillId="0" borderId="1" xfId="0" applyFont="1" applyFill="1" applyBorder="1" applyAlignment="1">
      <alignment horizontal="left" vertical="center" wrapText="1"/>
    </xf>
    <xf numFmtId="0" fontId="14" fillId="5" borderId="2"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3" fillId="0" borderId="1" xfId="0" applyFont="1" applyBorder="1" applyAlignment="1">
      <alignment horizontal="right" vertical="center"/>
    </xf>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3" fillId="0" borderId="2" xfId="4" applyFont="1" applyBorder="1" applyAlignment="1" applyProtection="1">
      <alignment horizontal="left" vertical="center" wrapText="1"/>
    </xf>
    <xf numFmtId="0" fontId="3" fillId="0" borderId="4" xfId="4" applyFont="1" applyBorder="1" applyAlignment="1" applyProtection="1">
      <alignment horizontal="left" vertical="center" wrapTex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5" fillId="3" borderId="16" xfId="4" applyFont="1" applyFill="1" applyBorder="1" applyAlignment="1" applyProtection="1">
      <alignment horizontal="center" vertical="center"/>
    </xf>
    <xf numFmtId="0" fontId="3" fillId="0" borderId="1" xfId="4" applyFont="1" applyBorder="1" applyAlignment="1" applyProtection="1">
      <alignment horizontal="center" vertical="center" wrapText="1"/>
    </xf>
    <xf numFmtId="0" fontId="5" fillId="0" borderId="1" xfId="4" applyFont="1" applyBorder="1" applyAlignment="1" applyProtection="1">
      <alignment horizontal="left" vertical="center"/>
    </xf>
    <xf numFmtId="0" fontId="3" fillId="0" borderId="1" xfId="4" applyFont="1" applyBorder="1" applyAlignment="1" applyProtection="1">
      <alignment horizontal="left" vertical="center" wrapText="1"/>
    </xf>
  </cellXfs>
  <cellStyles count="42">
    <cellStyle name="20% - Ênfase1 100" xfId="11" xr:uid="{386CD847-9B91-4A26-A214-40E241C7AEAA}"/>
    <cellStyle name="60% - Ênfase6 37" xfId="12" xr:uid="{30EF1708-B1E5-47FD-B357-1CACAA9FA786}"/>
    <cellStyle name="Excel Built-in Excel Built-in Excel Built-in Excel Built-in Excel Built-in Excel Built-in Excel Built-in Excel Built-in Separador de milhares 4" xfId="13" xr:uid="{E1979C50-2A8B-4202-A4A9-226F3585B3D9}"/>
    <cellStyle name="Excel Built-in Excel Built-in Excel Built-in Excel Built-in Excel Built-in Excel Built-in Excel Built-in Separador de milhares 4" xfId="14" xr:uid="{6F1F2C3D-C663-4767-8EF9-7F5F5C487581}"/>
    <cellStyle name="Excel Built-in Normal" xfId="15" xr:uid="{E4FA0686-9774-4684-8E49-7D32312B0CD6}"/>
    <cellStyle name="Excel Built-in Normal 1" xfId="16" xr:uid="{0BC22154-B9A9-4345-8CBF-60753E684BB9}"/>
    <cellStyle name="Excel Built-in Normal 2" xfId="17" xr:uid="{22C9ACDD-1C0B-4858-8AA2-48D6A1F50EFD}"/>
    <cellStyle name="Excel_BuiltIn_Comma" xfId="18" xr:uid="{52CA899A-E2A8-45C4-8054-3F772298E565}"/>
    <cellStyle name="Heading" xfId="19" xr:uid="{D9262C05-6BAB-4402-BA71-3BBC7CE8F8B5}"/>
    <cellStyle name="Heading1" xfId="20" xr:uid="{000E4911-9FFC-47EE-BF34-23C5285D96DE}"/>
    <cellStyle name="Hiperlink 2" xfId="7" xr:uid="{C2D7EEA2-48FD-4D2E-81D3-EA18BC3E5D53}"/>
    <cellStyle name="Moeda" xfId="2" builtinId="4"/>
    <cellStyle name="Moeda 2" xfId="21" xr:uid="{C870BC3A-0979-44A0-8CB4-3441159207B3}"/>
    <cellStyle name="Normal" xfId="0" builtinId="0"/>
    <cellStyle name="Normal 2" xfId="5" xr:uid="{007D6D52-0059-497D-95B7-6CD4FDBBB68F}"/>
    <cellStyle name="Normal 3" xfId="22" xr:uid="{C25E291C-C8D3-4B71-83DA-9F3299EAF05B}"/>
    <cellStyle name="Normal 4" xfId="23" xr:uid="{F1F3E08F-BED9-453E-8A58-6B3C4BF5AD68}"/>
    <cellStyle name="Normal 5" xfId="10" xr:uid="{416E82CF-A0CE-4BA3-8413-4443445F91D2}"/>
    <cellStyle name="Normal 6" xfId="24" xr:uid="{9688A4A0-CAAC-457A-A000-7CFAD31F431B}"/>
    <cellStyle name="Normal 7" xfId="25" xr:uid="{D94FBFEF-1199-4D43-B6EF-130EE1A04F61}"/>
    <cellStyle name="Normal 9" xfId="26" xr:uid="{FB8ABCC2-F408-4B82-B9EE-6627F43F56FF}"/>
    <cellStyle name="Porcentagem" xfId="3" builtinId="5"/>
    <cellStyle name="Porcentagem 2" xfId="8" xr:uid="{C63438C0-F27D-4102-918E-DC29DD44541C}"/>
    <cellStyle name="Porcentagem 2 2" xfId="27" xr:uid="{C4A4EC2B-4A47-4F60-BC65-90ADF5289323}"/>
    <cellStyle name="Porcentagem 3" xfId="28" xr:uid="{A3B384EE-5AEC-4D74-8905-8B936DED1FF2}"/>
    <cellStyle name="Porcentagem 4" xfId="29" xr:uid="{9A54C3F1-D7FF-4F72-9746-AE499F88C577}"/>
    <cellStyle name="Porcentagem 4 2" xfId="30" xr:uid="{074960B4-2ED9-486D-B02E-F9C42C6FA347}"/>
    <cellStyle name="Result" xfId="31" xr:uid="{41E0A522-F680-4F69-A845-11B7DE1430A6}"/>
    <cellStyle name="Result2" xfId="32" xr:uid="{F283AA49-AC29-4EB7-943D-D0E3597FCA91}"/>
    <cellStyle name="Separador de milhares 2" xfId="33" xr:uid="{2983215B-6B92-4308-9C50-2E23E1A17898}"/>
    <cellStyle name="Separador de milhares 4" xfId="34" xr:uid="{8DE51232-B1CC-424E-AF49-F21AB7758624}"/>
    <cellStyle name="Texto Explicativo" xfId="4" builtinId="53" customBuiltin="1"/>
    <cellStyle name="Texto Explicativo 2" xfId="9" xr:uid="{7020CB8D-3A08-441F-A9D3-7E8C097831D8}"/>
    <cellStyle name="Vírgula" xfId="1" builtinId="3"/>
    <cellStyle name="Vírgula 2" xfId="6" xr:uid="{52A1E394-7965-4B10-86EF-DE50C7B576C7}"/>
    <cellStyle name="Vírgula 2 2" xfId="36" xr:uid="{705A6A3C-9704-4F34-8D8F-16D0A07B4CE3}"/>
    <cellStyle name="Vírgula 3" xfId="37" xr:uid="{918B5A27-F639-456C-A5AD-C6737461CB1E}"/>
    <cellStyle name="Vírgula 3 2" xfId="38" xr:uid="{858317FD-3AC8-410F-973D-64BD0A32426E}"/>
    <cellStyle name="Vírgula 4" xfId="39" xr:uid="{13C4AFE6-5CDE-4AC5-94B4-0C158B6FF280}"/>
    <cellStyle name="Vírgula 5" xfId="40" xr:uid="{31970100-2063-47D5-AF81-BE202844363E}"/>
    <cellStyle name="Vírgula 5 2" xfId="41" xr:uid="{180DAB62-EB51-4389-A4A5-CDF302B4B4A4}"/>
    <cellStyle name="Vírgula 6" xfId="35" xr:uid="{014C1C44-A2E0-44C6-BBFD-F13BE906D1A5}"/>
  </cellStyles>
  <dxfs count="28">
    <dxf>
      <fill>
        <patternFill>
          <bgColor rgb="FFFFC7CE"/>
        </patternFill>
      </fill>
    </dxf>
    <dxf>
      <font>
        <color rgb="FF000000"/>
        <name val="Arial"/>
      </font>
    </dxf>
    <dxf>
      <font>
        <color rgb="FF9C0006"/>
      </font>
      <fill>
        <patternFill>
          <bgColor rgb="FFFFC7CE"/>
        </patternFill>
      </fill>
    </dxf>
    <dxf>
      <fill>
        <patternFill>
          <bgColor rgb="FFFFC7CE"/>
        </patternFill>
      </fill>
    </dxf>
    <dxf>
      <font>
        <color rgb="FF000000"/>
        <name val="Arial"/>
      </font>
    </dxf>
    <dxf>
      <font>
        <color rgb="FF9C0006"/>
      </font>
      <fill>
        <patternFill>
          <bgColor rgb="FFFFC7CE"/>
        </patternFill>
      </fill>
    </dxf>
    <dxf>
      <fill>
        <patternFill>
          <bgColor rgb="FFFFC7CE"/>
        </patternFill>
      </fill>
    </dxf>
    <dxf>
      <font>
        <color rgb="FF000000"/>
        <name val="Arial"/>
      </font>
    </dxf>
    <dxf>
      <font>
        <color rgb="FF9C0006"/>
      </font>
      <fill>
        <patternFill>
          <bgColor rgb="FFFFC7CE"/>
        </patternFill>
      </fill>
    </dxf>
    <dxf>
      <fill>
        <patternFill>
          <bgColor rgb="FFFFC7CE"/>
        </patternFill>
      </fill>
    </dxf>
    <dxf>
      <font>
        <color rgb="FF000000"/>
        <name val="Arial"/>
      </font>
    </dxf>
    <dxf>
      <font>
        <color rgb="FF9C0006"/>
      </font>
      <fill>
        <patternFill>
          <bgColor rgb="FFFFC7CE"/>
        </patternFill>
      </fill>
    </dxf>
    <dxf>
      <fill>
        <patternFill>
          <bgColor rgb="FFFFC7CE"/>
        </patternFill>
      </fill>
    </dxf>
    <dxf>
      <font>
        <color rgb="FF000000"/>
        <name val="Arial"/>
      </font>
    </dxf>
    <dxf>
      <font>
        <color rgb="FF9C0006"/>
      </font>
      <fill>
        <patternFill>
          <bgColor rgb="FFFFC7CE"/>
        </patternFill>
      </fill>
    </dxf>
    <dxf>
      <fill>
        <patternFill>
          <bgColor rgb="FFFFC7CE"/>
        </patternFill>
      </fill>
    </dxf>
    <dxf>
      <font>
        <color rgb="FF000000"/>
        <name val="Arial"/>
      </font>
    </dxf>
    <dxf>
      <font>
        <color rgb="FF9C0006"/>
      </font>
      <fill>
        <patternFill>
          <bgColor rgb="FFFFC7CE"/>
        </patternFill>
      </fill>
    </dxf>
    <dxf>
      <fill>
        <patternFill>
          <bgColor rgb="FFFFC7CE"/>
        </patternFill>
      </fill>
    </dxf>
    <dxf>
      <font>
        <color rgb="FF000000"/>
        <name val="Arial"/>
      </font>
    </dxf>
    <dxf>
      <font>
        <color rgb="FF9C0006"/>
      </font>
      <fill>
        <patternFill>
          <bgColor rgb="FFFFC7CE"/>
        </patternFill>
      </fill>
    </dxf>
    <dxf>
      <fill>
        <patternFill>
          <bgColor rgb="FFFFC7CE"/>
        </patternFill>
      </fill>
    </dxf>
    <dxf>
      <font>
        <color rgb="FF000000"/>
        <name val="Arial"/>
      </font>
    </dxf>
    <dxf>
      <font>
        <color rgb="FF9C0006"/>
      </font>
      <fill>
        <patternFill>
          <bgColor rgb="FFFFC7CE"/>
        </patternFill>
      </fill>
    </dxf>
    <dxf>
      <fill>
        <patternFill>
          <bgColor rgb="FFFFC7CE"/>
        </patternFill>
      </fill>
    </dxf>
    <dxf>
      <font>
        <color rgb="FF000000"/>
        <name val="Arial"/>
      </font>
    </dxf>
    <dxf>
      <font>
        <color rgb="FF9C0006"/>
      </font>
      <fill>
        <patternFill>
          <bgColor rgb="FFFFC7CE"/>
        </patternFill>
      </fill>
    </dxf>
    <dxf>
      <font>
        <color rgb="FFFFFFFF"/>
      </font>
    </dxf>
  </dxfs>
  <tableStyles count="0" defaultTableStyle="TableStyleMedium9" defaultPivotStyle="PivotStyleLight16"/>
  <colors>
    <indexedColors>
      <rgbColor rgb="FF000000"/>
      <rgbColor rgb="FFFFFFFF"/>
      <rgbColor rgb="FFCC0000"/>
      <rgbColor rgb="FF00FF00"/>
      <rgbColor rgb="FF0000FF"/>
      <rgbColor rgb="FFFFFF00"/>
      <rgbColor rgb="FFFF00FF"/>
      <rgbColor rgb="FF00FFFF"/>
      <rgbColor rgb="FF9C0006"/>
      <rgbColor rgb="FF006600"/>
      <rgbColor rgb="FF000080"/>
      <rgbColor rgb="FF996600"/>
      <rgbColor rgb="FF800080"/>
      <rgbColor rgb="FF008080"/>
      <rgbColor rgb="FFC0C0C0"/>
      <rgbColor rgb="FF808080"/>
      <rgbColor rgb="FF9999FF"/>
      <rgbColor rgb="FF993366"/>
      <rgbColor rgb="FFFFFFCC"/>
      <rgbColor rgb="FFDDDDDD"/>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C3D69B"/>
      <rgbColor rgb="FF95B3D7"/>
      <rgbColor rgb="FFFFC7CE"/>
      <rgbColor rgb="FFBFBFBF"/>
      <rgbColor rgb="FFFFCCCC"/>
      <rgbColor rgb="FF3366FF"/>
      <rgbColor rgb="FF33CCCC"/>
      <rgbColor rgb="FF99CC00"/>
      <rgbColor rgb="FFFFCC00"/>
      <rgbColor rgb="FFFF9900"/>
      <rgbColor rgb="FFFF6600"/>
      <rgbColor rgb="FF558ED5"/>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237156</xdr:colOff>
      <xdr:row>0</xdr:row>
      <xdr:rowOff>50983</xdr:rowOff>
    </xdr:from>
    <xdr:to>
      <xdr:col>1</xdr:col>
      <xdr:colOff>610632</xdr:colOff>
      <xdr:row>4</xdr:row>
      <xdr:rowOff>112850</xdr:rowOff>
    </xdr:to>
    <xdr:pic>
      <xdr:nvPicPr>
        <xdr:cNvPr id="3" name="Image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237156" y="50983"/>
          <a:ext cx="807393" cy="781534"/>
        </a:xfrm>
        <a:prstGeom prst="rect">
          <a:avLst/>
        </a:prstGeom>
        <a:ln>
          <a:noFill/>
        </a:ln>
      </xdr:spPr>
    </xdr:pic>
    <xdr:clientData/>
  </xdr:twoCellAnchor>
  <xdr:twoCellAnchor>
    <xdr:from>
      <xdr:col>1</xdr:col>
      <xdr:colOff>832423</xdr:colOff>
      <xdr:row>0</xdr:row>
      <xdr:rowOff>140584</xdr:rowOff>
    </xdr:from>
    <xdr:to>
      <xdr:col>5</xdr:col>
      <xdr:colOff>135356</xdr:colOff>
      <xdr:row>4</xdr:row>
      <xdr:rowOff>130157</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1266340" y="140584"/>
          <a:ext cx="5525933" cy="709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x-none" sz="1600" b="1">
              <a:solidFill>
                <a:schemeClr val="dk1"/>
              </a:solidFill>
              <a:latin typeface="Arial" pitchFamily="34" charset="0"/>
              <a:ea typeface="+mn-ea"/>
              <a:cs typeface="Arial" pitchFamily="34" charset="0"/>
            </a:rPr>
            <a:t>MUNICÍPIO DE MURIAÉ</a:t>
          </a:r>
          <a:endParaRPr lang="pt-BR" sz="1600" b="0">
            <a:solidFill>
              <a:schemeClr val="dk1"/>
            </a:solidFill>
            <a:latin typeface="Arial" pitchFamily="34" charset="0"/>
            <a:ea typeface="+mn-ea"/>
            <a:cs typeface="Arial" pitchFamily="34" charset="0"/>
          </a:endParaRPr>
        </a:p>
        <a:p>
          <a:pPr algn="l"/>
          <a:r>
            <a:rPr lang="x-none" sz="1600">
              <a:solidFill>
                <a:schemeClr val="dk1"/>
              </a:solidFill>
              <a:latin typeface="Arial" pitchFamily="34" charset="0"/>
              <a:ea typeface="+mn-ea"/>
              <a:cs typeface="Arial" pitchFamily="34" charset="0"/>
            </a:rPr>
            <a:t>SECRETARIA MUNICIPAL DE EDUCAÇ</a:t>
          </a:r>
          <a:r>
            <a:rPr lang="pt-BR" sz="1600">
              <a:solidFill>
                <a:schemeClr val="dk1"/>
              </a:solidFill>
              <a:latin typeface="Arial" pitchFamily="34" charset="0"/>
              <a:ea typeface="+mn-ea"/>
              <a:cs typeface="Arial" pitchFamily="34" charset="0"/>
            </a:rPr>
            <a:t>ÃO</a:t>
          </a:r>
        </a:p>
      </xdr:txBody>
    </xdr:sp>
    <xdr:clientData/>
  </xdr:twoCellAnchor>
  <xdr:twoCellAnchor>
    <xdr:from>
      <xdr:col>3</xdr:col>
      <xdr:colOff>1426462</xdr:colOff>
      <xdr:row>175</xdr:row>
      <xdr:rowOff>7640</xdr:rowOff>
    </xdr:from>
    <xdr:to>
      <xdr:col>4</xdr:col>
      <xdr:colOff>227695</xdr:colOff>
      <xdr:row>178</xdr:row>
      <xdr:rowOff>10442</xdr:rowOff>
    </xdr:to>
    <xdr:sp macro="" textlink="">
      <xdr:nvSpPr>
        <xdr:cNvPr id="5" name="CaixaDeTexto 4">
          <a:extLst>
            <a:ext uri="{FF2B5EF4-FFF2-40B4-BE49-F238E27FC236}">
              <a16:creationId xmlns:a16="http://schemas.microsoft.com/office/drawing/2014/main" id="{00000000-0008-0000-0000-000005000000}"/>
            </a:ext>
          </a:extLst>
        </xdr:cNvPr>
        <xdr:cNvSpPr txBox="1"/>
      </xdr:nvSpPr>
      <xdr:spPr>
        <a:xfrm>
          <a:off x="3490212" y="58745140"/>
          <a:ext cx="3023983" cy="4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1000">
              <a:solidFill>
                <a:schemeClr val="dk1"/>
              </a:solidFill>
              <a:latin typeface="Arial" pitchFamily="34" charset="0"/>
              <a:ea typeface="+mn-ea"/>
              <a:cs typeface="Arial" pitchFamily="34" charset="0"/>
            </a:rPr>
            <a:t>PREFEITURA MUNICIPAL DE MURIAÉ</a:t>
          </a:r>
          <a:endParaRPr lang="pt-BR" sz="1000">
            <a:solidFill>
              <a:schemeClr val="dk1"/>
            </a:solidFill>
            <a:latin typeface="Arial" pitchFamily="34" charset="0"/>
            <a:ea typeface="+mn-ea"/>
            <a:cs typeface="Arial" pitchFamily="34" charset="0"/>
          </a:endParaRPr>
        </a:p>
        <a:p>
          <a:pPr algn="ctr"/>
          <a:r>
            <a:rPr lang="pt-PT" sz="1000">
              <a:solidFill>
                <a:schemeClr val="dk1"/>
              </a:solidFill>
              <a:latin typeface="Arial" pitchFamily="34" charset="0"/>
              <a:ea typeface="+mn-ea"/>
              <a:cs typeface="Arial" pitchFamily="34" charset="0"/>
            </a:rPr>
            <a:t>Av. Maestro Sansão, 236 – Centro </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Cep: 36880-002 – Muriaé – MG – tel: (32) 3696-3388</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https://muriae.mg.gov.br/</a:t>
          </a:r>
          <a:endParaRPr lang="pt-BR" sz="1000">
            <a:solidFill>
              <a:schemeClr val="dk1"/>
            </a:solidFill>
            <a:latin typeface="Arial" pitchFamily="34" charset="0"/>
            <a:ea typeface="+mn-ea"/>
            <a:cs typeface="Arial" pitchFamily="34" charset="0"/>
          </a:endParaRPr>
        </a:p>
      </xdr:txBody>
    </xdr:sp>
    <xdr:clientData/>
  </xdr:twoCellAnchor>
  <xdr:twoCellAnchor>
    <xdr:from>
      <xdr:col>0</xdr:col>
      <xdr:colOff>0</xdr:colOff>
      <xdr:row>173</xdr:row>
      <xdr:rowOff>31373</xdr:rowOff>
    </xdr:from>
    <xdr:to>
      <xdr:col>3</xdr:col>
      <xdr:colOff>1452563</xdr:colOff>
      <xdr:row>178</xdr:row>
      <xdr:rowOff>127462</xdr:rowOff>
    </xdr:to>
    <xdr:sp macro="" textlink="">
      <xdr:nvSpPr>
        <xdr:cNvPr id="6" name="CaixaDeTexto 5">
          <a:extLst>
            <a:ext uri="{FF2B5EF4-FFF2-40B4-BE49-F238E27FC236}">
              <a16:creationId xmlns:a16="http://schemas.microsoft.com/office/drawing/2014/main" id="{00000000-0008-0000-0000-000006000000}"/>
            </a:ext>
          </a:extLst>
        </xdr:cNvPr>
        <xdr:cNvSpPr txBox="1"/>
      </xdr:nvSpPr>
      <xdr:spPr>
        <a:xfrm>
          <a:off x="0" y="48073092"/>
          <a:ext cx="3512344" cy="762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a:t>
          </a:r>
        </a:p>
        <a:p>
          <a:pPr algn="ctr"/>
          <a:r>
            <a:rPr lang="pt-BR" sz="1000">
              <a:latin typeface="Arial" pitchFamily="34" charset="0"/>
              <a:cs typeface="Arial" pitchFamily="34" charset="0"/>
            </a:rPr>
            <a:t>Raphael Luiz Soares Cerqueira</a:t>
          </a:r>
          <a:endParaRPr lang="pt-BR" sz="1000" baseline="0">
            <a:latin typeface="Arial" pitchFamily="34" charset="0"/>
            <a:cs typeface="Arial" pitchFamily="34" charset="0"/>
          </a:endParaRPr>
        </a:p>
        <a:p>
          <a:pPr algn="ctr"/>
          <a:r>
            <a:rPr lang="pt-BR" sz="1000" baseline="0">
              <a:latin typeface="Arial" pitchFamily="34" charset="0"/>
              <a:cs typeface="Arial" pitchFamily="34" charset="0"/>
            </a:rPr>
            <a:t>Engenheiro Civil</a:t>
          </a:r>
        </a:p>
        <a:p>
          <a:pPr algn="ctr"/>
          <a:r>
            <a:rPr lang="pt-BR" sz="1000" baseline="0">
              <a:latin typeface="Arial" pitchFamily="34" charset="0"/>
              <a:cs typeface="Arial" pitchFamily="34" charset="0"/>
            </a:rPr>
            <a:t>CREA-RJ 2020100179/D</a:t>
          </a:r>
        </a:p>
        <a:p>
          <a:pPr algn="ctr"/>
          <a:r>
            <a:rPr lang="pt-BR" sz="1000" baseline="0">
              <a:latin typeface="Arial" pitchFamily="34" charset="0"/>
              <a:cs typeface="Arial" pitchFamily="34" charset="0"/>
            </a:rPr>
            <a:t>Assessor de Supervisão de Infraestrutura Escolar</a:t>
          </a:r>
        </a:p>
        <a:p>
          <a:endParaRPr lang="pt-BR" sz="1100"/>
        </a:p>
      </xdr:txBody>
    </xdr:sp>
    <xdr:clientData/>
  </xdr:twoCellAnchor>
  <xdr:twoCellAnchor>
    <xdr:from>
      <xdr:col>4</xdr:col>
      <xdr:colOff>130956</xdr:colOff>
      <xdr:row>173</xdr:row>
      <xdr:rowOff>20252</xdr:rowOff>
    </xdr:from>
    <xdr:to>
      <xdr:col>9</xdr:col>
      <xdr:colOff>3170</xdr:colOff>
      <xdr:row>178</xdr:row>
      <xdr:rowOff>70522</xdr:rowOff>
    </xdr:to>
    <xdr:sp macro="" textlink="">
      <xdr:nvSpPr>
        <xdr:cNvPr id="7" name="CaixaDeTexto 6">
          <a:extLst>
            <a:ext uri="{FF2B5EF4-FFF2-40B4-BE49-F238E27FC236}">
              <a16:creationId xmlns:a16="http://schemas.microsoft.com/office/drawing/2014/main" id="{00000000-0008-0000-0000-000007000000}"/>
            </a:ext>
          </a:extLst>
        </xdr:cNvPr>
        <xdr:cNvSpPr txBox="1"/>
      </xdr:nvSpPr>
      <xdr:spPr>
        <a:xfrm>
          <a:off x="6405550" y="48061971"/>
          <a:ext cx="3575058" cy="717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a:t>
          </a:r>
        </a:p>
        <a:p>
          <a:pPr algn="ctr"/>
          <a:r>
            <a:rPr lang="pt-BR" sz="1000" baseline="0">
              <a:latin typeface="Arial" pitchFamily="34" charset="0"/>
              <a:cs typeface="Arial" pitchFamily="34" charset="0"/>
            </a:rPr>
            <a:t>Ioannis Konstantinos Grammatikopoulos</a:t>
          </a:r>
        </a:p>
        <a:p>
          <a:pPr algn="ctr"/>
          <a:r>
            <a:rPr lang="pt-BR" sz="1000" baseline="0">
              <a:latin typeface="Arial" pitchFamily="34" charset="0"/>
              <a:cs typeface="Arial" pitchFamily="34" charset="0"/>
            </a:rPr>
            <a:t>Prefeito Municipal</a:t>
          </a:r>
        </a:p>
        <a:p>
          <a:pPr algn="ctr"/>
          <a:r>
            <a:rPr lang="pt-BR" sz="1000" baseline="0">
              <a:latin typeface="Arial" pitchFamily="34" charset="0"/>
              <a:cs typeface="Arial" pitchFamily="34" charset="0"/>
            </a:rPr>
            <a:t>Prefeitura Municipal de Muriaé</a:t>
          </a:r>
        </a:p>
        <a:p>
          <a:pPr algn="ctr"/>
          <a:r>
            <a:rPr lang="pt-BR" sz="1000" baseline="0">
              <a:latin typeface="Arial" pitchFamily="34" charset="0"/>
              <a:cs typeface="Arial" pitchFamily="34" charset="0"/>
            </a:rPr>
            <a:t>CNPJ: 17.947.581/0001-76</a:t>
          </a:r>
        </a:p>
        <a:p>
          <a:pPr algn="ctr"/>
          <a:endParaRPr lang="pt-BR" sz="1050" baseline="0">
            <a:latin typeface="Arial" pitchFamily="34" charset="0"/>
            <a:cs typeface="Arial" pitchFamily="34" charset="0"/>
          </a:endParaRPr>
        </a:p>
        <a:p>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192180</xdr:colOff>
      <xdr:row>0</xdr:row>
      <xdr:rowOff>50983</xdr:rowOff>
    </xdr:from>
    <xdr:to>
      <xdr:col>1</xdr:col>
      <xdr:colOff>553346</xdr:colOff>
      <xdr:row>4</xdr:row>
      <xdr:rowOff>112850</xdr:rowOff>
    </xdr:to>
    <xdr:pic>
      <xdr:nvPicPr>
        <xdr:cNvPr id="2" name="Imagem 1">
          <a:extLst>
            <a:ext uri="{FF2B5EF4-FFF2-40B4-BE49-F238E27FC236}">
              <a16:creationId xmlns:a16="http://schemas.microsoft.com/office/drawing/2014/main" id="{5ABFF794-5D4E-43CD-8345-4F2E1F3CB7B1}"/>
            </a:ext>
          </a:extLst>
        </xdr:cNvPr>
        <xdr:cNvPicPr/>
      </xdr:nvPicPr>
      <xdr:blipFill>
        <a:blip xmlns:r="http://schemas.openxmlformats.org/officeDocument/2006/relationships" r:embed="rId1"/>
        <a:stretch/>
      </xdr:blipFill>
      <xdr:spPr>
        <a:xfrm>
          <a:off x="192180" y="50983"/>
          <a:ext cx="798321" cy="781534"/>
        </a:xfrm>
        <a:prstGeom prst="rect">
          <a:avLst/>
        </a:prstGeom>
        <a:ln>
          <a:noFill/>
        </a:ln>
      </xdr:spPr>
    </xdr:pic>
    <xdr:clientData/>
  </xdr:twoCellAnchor>
  <xdr:twoCellAnchor>
    <xdr:from>
      <xdr:col>1</xdr:col>
      <xdr:colOff>536090</xdr:colOff>
      <xdr:row>0</xdr:row>
      <xdr:rowOff>108834</xdr:rowOff>
    </xdr:from>
    <xdr:to>
      <xdr:col>4</xdr:col>
      <xdr:colOff>209440</xdr:colOff>
      <xdr:row>4</xdr:row>
      <xdr:rowOff>118780</xdr:rowOff>
    </xdr:to>
    <xdr:sp macro="" textlink="">
      <xdr:nvSpPr>
        <xdr:cNvPr id="3" name="CaixaDeTexto 2">
          <a:extLst>
            <a:ext uri="{FF2B5EF4-FFF2-40B4-BE49-F238E27FC236}">
              <a16:creationId xmlns:a16="http://schemas.microsoft.com/office/drawing/2014/main" id="{44405D99-56BB-4433-9754-AACCF1528C37}"/>
            </a:ext>
          </a:extLst>
        </xdr:cNvPr>
        <xdr:cNvSpPr txBox="1"/>
      </xdr:nvSpPr>
      <xdr:spPr>
        <a:xfrm>
          <a:off x="974240" y="108834"/>
          <a:ext cx="6759950" cy="7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x-none" sz="1600" b="1">
              <a:solidFill>
                <a:schemeClr val="dk1"/>
              </a:solidFill>
              <a:latin typeface="Arial" pitchFamily="34" charset="0"/>
              <a:ea typeface="+mn-ea"/>
              <a:cs typeface="Arial" pitchFamily="34" charset="0"/>
            </a:rPr>
            <a:t>MUNICÍPIO DE MURIAÉ</a:t>
          </a:r>
          <a:endParaRPr lang="pt-BR" sz="1600" b="0">
            <a:solidFill>
              <a:schemeClr val="dk1"/>
            </a:solidFill>
            <a:latin typeface="Arial" pitchFamily="34" charset="0"/>
            <a:ea typeface="+mn-ea"/>
            <a:cs typeface="Arial" pitchFamily="34" charset="0"/>
          </a:endParaRPr>
        </a:p>
        <a:p>
          <a:pPr algn="l"/>
          <a:r>
            <a:rPr lang="x-none" sz="1600">
              <a:solidFill>
                <a:schemeClr val="dk1"/>
              </a:solidFill>
              <a:latin typeface="Arial" pitchFamily="34" charset="0"/>
              <a:ea typeface="+mn-ea"/>
              <a:cs typeface="Arial" pitchFamily="34" charset="0"/>
            </a:rPr>
            <a:t>SECRETARIA MUNICIPAL DE EDUCAÇ</a:t>
          </a:r>
          <a:r>
            <a:rPr lang="pt-BR" sz="1600">
              <a:solidFill>
                <a:schemeClr val="dk1"/>
              </a:solidFill>
              <a:latin typeface="Arial" pitchFamily="34" charset="0"/>
              <a:ea typeface="+mn-ea"/>
              <a:cs typeface="Arial" pitchFamily="34" charset="0"/>
            </a:rPr>
            <a:t>ÃO</a:t>
          </a:r>
        </a:p>
      </xdr:txBody>
    </xdr:sp>
    <xdr:clientData/>
  </xdr:twoCellAnchor>
  <xdr:twoCellAnchor>
    <xdr:from>
      <xdr:col>2</xdr:col>
      <xdr:colOff>600054</xdr:colOff>
      <xdr:row>1033</xdr:row>
      <xdr:rowOff>26281</xdr:rowOff>
    </xdr:from>
    <xdr:to>
      <xdr:col>3</xdr:col>
      <xdr:colOff>4744098</xdr:colOff>
      <xdr:row>1036</xdr:row>
      <xdr:rowOff>29082</xdr:rowOff>
    </xdr:to>
    <xdr:sp macro="" textlink="">
      <xdr:nvSpPr>
        <xdr:cNvPr id="4" name="CaixaDeTexto 3">
          <a:extLst>
            <a:ext uri="{FF2B5EF4-FFF2-40B4-BE49-F238E27FC236}">
              <a16:creationId xmlns:a16="http://schemas.microsoft.com/office/drawing/2014/main" id="{52947443-3299-4E75-BD71-8EF541C415B6}"/>
            </a:ext>
          </a:extLst>
        </xdr:cNvPr>
        <xdr:cNvSpPr txBox="1"/>
      </xdr:nvSpPr>
      <xdr:spPr>
        <a:xfrm>
          <a:off x="2896637" y="253094948"/>
          <a:ext cx="4831961" cy="542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1000">
              <a:solidFill>
                <a:schemeClr val="dk1"/>
              </a:solidFill>
              <a:latin typeface="Arial" pitchFamily="34" charset="0"/>
              <a:ea typeface="+mn-ea"/>
              <a:cs typeface="Arial" pitchFamily="34" charset="0"/>
            </a:rPr>
            <a:t>PREFEITURA MUNICIPAL DE MURIAÉ</a:t>
          </a:r>
          <a:endParaRPr lang="pt-BR" sz="1000">
            <a:solidFill>
              <a:schemeClr val="dk1"/>
            </a:solidFill>
            <a:latin typeface="Arial" pitchFamily="34" charset="0"/>
            <a:ea typeface="+mn-ea"/>
            <a:cs typeface="Arial" pitchFamily="34" charset="0"/>
          </a:endParaRPr>
        </a:p>
        <a:p>
          <a:pPr algn="ctr"/>
          <a:r>
            <a:rPr lang="pt-PT" sz="1000">
              <a:solidFill>
                <a:schemeClr val="dk1"/>
              </a:solidFill>
              <a:latin typeface="Arial" pitchFamily="34" charset="0"/>
              <a:ea typeface="+mn-ea"/>
              <a:cs typeface="Arial" pitchFamily="34" charset="0"/>
            </a:rPr>
            <a:t>Av. Maestro Sansão, 236 – Centro </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Cep: 36880-002 – Muriaé – MG – tel: (32) 3696-3388</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https://muriae.mg.gov.br/</a:t>
          </a:r>
          <a:endParaRPr lang="pt-BR" sz="1000">
            <a:solidFill>
              <a:schemeClr val="dk1"/>
            </a:solidFill>
            <a:latin typeface="Arial" pitchFamily="34" charset="0"/>
            <a:ea typeface="+mn-ea"/>
            <a:cs typeface="Arial" pitchFamily="34" charset="0"/>
          </a:endParaRPr>
        </a:p>
      </xdr:txBody>
    </xdr:sp>
    <xdr:clientData/>
  </xdr:twoCellAnchor>
  <xdr:twoCellAnchor>
    <xdr:from>
      <xdr:col>3</xdr:col>
      <xdr:colOff>3793372</xdr:colOff>
      <xdr:row>1029</xdr:row>
      <xdr:rowOff>123599</xdr:rowOff>
    </xdr:from>
    <xdr:to>
      <xdr:col>7</xdr:col>
      <xdr:colOff>550333</xdr:colOff>
      <xdr:row>1033</xdr:row>
      <xdr:rowOff>173869</xdr:rowOff>
    </xdr:to>
    <xdr:sp macro="" textlink="">
      <xdr:nvSpPr>
        <xdr:cNvPr id="6" name="CaixaDeTexto 5">
          <a:extLst>
            <a:ext uri="{FF2B5EF4-FFF2-40B4-BE49-F238E27FC236}">
              <a16:creationId xmlns:a16="http://schemas.microsoft.com/office/drawing/2014/main" id="{AD112039-BDBD-4F1F-AA16-74EAF3C31271}"/>
            </a:ext>
          </a:extLst>
        </xdr:cNvPr>
        <xdr:cNvSpPr txBox="1"/>
      </xdr:nvSpPr>
      <xdr:spPr>
        <a:xfrm>
          <a:off x="6206372" y="132055432"/>
          <a:ext cx="3900711" cy="76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_____________________________________________________</a:t>
          </a:r>
        </a:p>
        <a:p>
          <a:pPr algn="ctr"/>
          <a:r>
            <a:rPr lang="pt-BR" sz="1000" baseline="0">
              <a:latin typeface="Arial" pitchFamily="34" charset="0"/>
              <a:cs typeface="Arial" pitchFamily="34" charset="0"/>
            </a:rPr>
            <a:t>Ioannis Konstantinos Grammatikopoulos</a:t>
          </a:r>
        </a:p>
        <a:p>
          <a:pPr algn="ctr"/>
          <a:r>
            <a:rPr lang="pt-BR" sz="1000" baseline="0">
              <a:latin typeface="Arial" pitchFamily="34" charset="0"/>
              <a:cs typeface="Arial" pitchFamily="34" charset="0"/>
            </a:rPr>
            <a:t>Prefeito Municipal</a:t>
          </a:r>
        </a:p>
        <a:p>
          <a:pPr algn="ctr"/>
          <a:r>
            <a:rPr lang="pt-BR" sz="1000" baseline="0">
              <a:latin typeface="Arial" pitchFamily="34" charset="0"/>
              <a:cs typeface="Arial" pitchFamily="34" charset="0"/>
            </a:rPr>
            <a:t>Prefeitura Municipal de Muriaé</a:t>
          </a:r>
        </a:p>
        <a:p>
          <a:pPr algn="ctr"/>
          <a:r>
            <a:rPr lang="pt-BR" sz="1000" baseline="0">
              <a:latin typeface="Arial" pitchFamily="34" charset="0"/>
              <a:cs typeface="Arial" pitchFamily="34" charset="0"/>
            </a:rPr>
            <a:t>CNPJ: 17.947.581/0001-76</a:t>
          </a:r>
        </a:p>
        <a:p>
          <a:pPr algn="ctr"/>
          <a:endParaRPr lang="pt-BR" sz="1050" baseline="0">
            <a:latin typeface="Arial" pitchFamily="34" charset="0"/>
            <a:cs typeface="Arial" pitchFamily="34" charset="0"/>
          </a:endParaRPr>
        </a:p>
        <a:p>
          <a:endParaRPr lang="pt-BR" sz="1100"/>
        </a:p>
      </xdr:txBody>
    </xdr:sp>
    <xdr:clientData/>
  </xdr:twoCellAnchor>
  <xdr:twoCellAnchor>
    <xdr:from>
      <xdr:col>0</xdr:col>
      <xdr:colOff>116423</xdr:colOff>
      <xdr:row>1029</xdr:row>
      <xdr:rowOff>169333</xdr:rowOff>
    </xdr:from>
    <xdr:to>
      <xdr:col>3</xdr:col>
      <xdr:colOff>648236</xdr:colOff>
      <xdr:row>1034</xdr:row>
      <xdr:rowOff>159589</xdr:rowOff>
    </xdr:to>
    <xdr:sp macro="" textlink="">
      <xdr:nvSpPr>
        <xdr:cNvPr id="7" name="CaixaDeTexto 6">
          <a:extLst>
            <a:ext uri="{FF2B5EF4-FFF2-40B4-BE49-F238E27FC236}">
              <a16:creationId xmlns:a16="http://schemas.microsoft.com/office/drawing/2014/main" id="{2FA092D0-96D8-4519-A550-1EA84FFBDA53}"/>
            </a:ext>
          </a:extLst>
        </xdr:cNvPr>
        <xdr:cNvSpPr txBox="1"/>
      </xdr:nvSpPr>
      <xdr:spPr>
        <a:xfrm>
          <a:off x="116423" y="252518333"/>
          <a:ext cx="3516313" cy="889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a:t>
          </a:r>
        </a:p>
        <a:p>
          <a:pPr algn="ctr"/>
          <a:r>
            <a:rPr lang="pt-BR" sz="1000">
              <a:latin typeface="Arial" pitchFamily="34" charset="0"/>
              <a:cs typeface="Arial" pitchFamily="34" charset="0"/>
            </a:rPr>
            <a:t>Raphael Luiz Soares Cerqueira</a:t>
          </a:r>
          <a:endParaRPr lang="pt-BR" sz="1000" baseline="0">
            <a:latin typeface="Arial" pitchFamily="34" charset="0"/>
            <a:cs typeface="Arial" pitchFamily="34" charset="0"/>
          </a:endParaRPr>
        </a:p>
        <a:p>
          <a:pPr algn="ctr"/>
          <a:r>
            <a:rPr lang="pt-BR" sz="1000" baseline="0">
              <a:latin typeface="Arial" pitchFamily="34" charset="0"/>
              <a:cs typeface="Arial" pitchFamily="34" charset="0"/>
            </a:rPr>
            <a:t>Engenheiro Civil</a:t>
          </a:r>
        </a:p>
        <a:p>
          <a:pPr algn="ctr"/>
          <a:r>
            <a:rPr lang="pt-BR" sz="1000" baseline="0">
              <a:latin typeface="Arial" pitchFamily="34" charset="0"/>
              <a:cs typeface="Arial" pitchFamily="34" charset="0"/>
            </a:rPr>
            <a:t>CREA-RJ 2020100179/D</a:t>
          </a:r>
        </a:p>
        <a:p>
          <a:pPr algn="ctr"/>
          <a:r>
            <a:rPr lang="pt-BR" sz="1000" baseline="0">
              <a:latin typeface="Arial" pitchFamily="34" charset="0"/>
              <a:cs typeface="Arial" pitchFamily="34" charset="0"/>
            </a:rPr>
            <a:t>Assessor de Supervisão de Infraestrutura Escolar</a:t>
          </a:r>
        </a:p>
        <a:p>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196983</xdr:colOff>
      <xdr:row>0</xdr:row>
      <xdr:rowOff>67234</xdr:rowOff>
    </xdr:from>
    <xdr:to>
      <xdr:col>1</xdr:col>
      <xdr:colOff>540685</xdr:colOff>
      <xdr:row>3</xdr:row>
      <xdr:rowOff>166076</xdr:rowOff>
    </xdr:to>
    <xdr:pic>
      <xdr:nvPicPr>
        <xdr:cNvPr id="10" name="Imagem 9">
          <a:extLst>
            <a:ext uri="{FF2B5EF4-FFF2-40B4-BE49-F238E27FC236}">
              <a16:creationId xmlns:a16="http://schemas.microsoft.com/office/drawing/2014/main" id="{B838DE9D-3E12-46DF-B5E1-45FE8D962F45}"/>
            </a:ext>
          </a:extLst>
        </xdr:cNvPr>
        <xdr:cNvPicPr/>
      </xdr:nvPicPr>
      <xdr:blipFill>
        <a:blip xmlns:r="http://schemas.openxmlformats.org/officeDocument/2006/relationships" r:embed="rId1"/>
        <a:stretch/>
      </xdr:blipFill>
      <xdr:spPr>
        <a:xfrm>
          <a:off x="196983" y="67234"/>
          <a:ext cx="710694" cy="636724"/>
        </a:xfrm>
        <a:prstGeom prst="rect">
          <a:avLst/>
        </a:prstGeom>
        <a:ln>
          <a:noFill/>
        </a:ln>
      </xdr:spPr>
    </xdr:pic>
    <xdr:clientData/>
  </xdr:twoCellAnchor>
  <xdr:twoCellAnchor>
    <xdr:from>
      <xdr:col>1</xdr:col>
      <xdr:colOff>614531</xdr:colOff>
      <xdr:row>0</xdr:row>
      <xdr:rowOff>146934</xdr:rowOff>
    </xdr:from>
    <xdr:to>
      <xdr:col>4</xdr:col>
      <xdr:colOff>287881</xdr:colOff>
      <xdr:row>4</xdr:row>
      <xdr:rowOff>0</xdr:rowOff>
    </xdr:to>
    <xdr:sp macro="" textlink="">
      <xdr:nvSpPr>
        <xdr:cNvPr id="11" name="CaixaDeTexto 10">
          <a:extLst>
            <a:ext uri="{FF2B5EF4-FFF2-40B4-BE49-F238E27FC236}">
              <a16:creationId xmlns:a16="http://schemas.microsoft.com/office/drawing/2014/main" id="{38473FA2-91BA-48E5-947F-5A6F5FFDEE98}"/>
            </a:ext>
          </a:extLst>
        </xdr:cNvPr>
        <xdr:cNvSpPr txBox="1"/>
      </xdr:nvSpPr>
      <xdr:spPr>
        <a:xfrm>
          <a:off x="984325" y="146934"/>
          <a:ext cx="4648762" cy="727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x-none" sz="1600" b="1">
              <a:solidFill>
                <a:schemeClr val="dk1"/>
              </a:solidFill>
              <a:latin typeface="Arial" pitchFamily="34" charset="0"/>
              <a:ea typeface="+mn-ea"/>
              <a:cs typeface="Arial" pitchFamily="34" charset="0"/>
            </a:rPr>
            <a:t>MUNICÍPIO DE MURIAÉ</a:t>
          </a:r>
          <a:endParaRPr lang="pt-BR" sz="1600" b="0">
            <a:solidFill>
              <a:schemeClr val="dk1"/>
            </a:solidFill>
            <a:latin typeface="Arial" pitchFamily="34" charset="0"/>
            <a:ea typeface="+mn-ea"/>
            <a:cs typeface="Arial" pitchFamily="34" charset="0"/>
          </a:endParaRPr>
        </a:p>
        <a:p>
          <a:pPr algn="l"/>
          <a:r>
            <a:rPr lang="x-none" sz="1600">
              <a:solidFill>
                <a:schemeClr val="dk1"/>
              </a:solidFill>
              <a:latin typeface="Arial" pitchFamily="34" charset="0"/>
              <a:ea typeface="+mn-ea"/>
              <a:cs typeface="Arial" pitchFamily="34" charset="0"/>
            </a:rPr>
            <a:t>SECRETARIA MUNICIPAL DE EDUCAÇ</a:t>
          </a:r>
          <a:r>
            <a:rPr lang="pt-BR" sz="1600">
              <a:solidFill>
                <a:schemeClr val="dk1"/>
              </a:solidFill>
              <a:latin typeface="Arial" pitchFamily="34" charset="0"/>
              <a:ea typeface="+mn-ea"/>
              <a:cs typeface="Arial" pitchFamily="34" charset="0"/>
            </a:rPr>
            <a:t>ÃO</a:t>
          </a:r>
        </a:p>
      </xdr:txBody>
    </xdr:sp>
    <xdr:clientData/>
  </xdr:twoCellAnchor>
  <xdr:twoCellAnchor>
    <xdr:from>
      <xdr:col>1</xdr:col>
      <xdr:colOff>3134770</xdr:colOff>
      <xdr:row>53</xdr:row>
      <xdr:rowOff>137670</xdr:rowOff>
    </xdr:from>
    <xdr:to>
      <xdr:col>5</xdr:col>
      <xdr:colOff>381001</xdr:colOff>
      <xdr:row>57</xdr:row>
      <xdr:rowOff>170328</xdr:rowOff>
    </xdr:to>
    <xdr:sp macro="" textlink="">
      <xdr:nvSpPr>
        <xdr:cNvPr id="12" name="CaixaDeTexto 11">
          <a:extLst>
            <a:ext uri="{FF2B5EF4-FFF2-40B4-BE49-F238E27FC236}">
              <a16:creationId xmlns:a16="http://schemas.microsoft.com/office/drawing/2014/main" id="{B3274EB7-48DC-4365-B191-0572D44F1F88}"/>
            </a:ext>
          </a:extLst>
        </xdr:cNvPr>
        <xdr:cNvSpPr txBox="1"/>
      </xdr:nvSpPr>
      <xdr:spPr>
        <a:xfrm>
          <a:off x="3504564" y="10110905"/>
          <a:ext cx="2916408" cy="74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1000">
              <a:solidFill>
                <a:schemeClr val="dk1"/>
              </a:solidFill>
              <a:latin typeface="Arial" pitchFamily="34" charset="0"/>
              <a:ea typeface="+mn-ea"/>
              <a:cs typeface="Arial" pitchFamily="34" charset="0"/>
            </a:rPr>
            <a:t>PREFEITURA MUNICIPAL DE MURIAÉ</a:t>
          </a:r>
          <a:endParaRPr lang="pt-BR" sz="1000">
            <a:solidFill>
              <a:schemeClr val="dk1"/>
            </a:solidFill>
            <a:latin typeface="Arial" pitchFamily="34" charset="0"/>
            <a:ea typeface="+mn-ea"/>
            <a:cs typeface="Arial" pitchFamily="34" charset="0"/>
          </a:endParaRPr>
        </a:p>
        <a:p>
          <a:pPr algn="ctr"/>
          <a:r>
            <a:rPr lang="pt-PT" sz="1000">
              <a:solidFill>
                <a:schemeClr val="dk1"/>
              </a:solidFill>
              <a:latin typeface="Arial" pitchFamily="34" charset="0"/>
              <a:ea typeface="+mn-ea"/>
              <a:cs typeface="Arial" pitchFamily="34" charset="0"/>
            </a:rPr>
            <a:t>Av. Maestro Sansão, 236 – Centro </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Cep: 36880-002 – Muriaé – MG – tel: (32) 3696-3388</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https://muriae.mg.gov.br/</a:t>
          </a:r>
          <a:endParaRPr lang="pt-BR" sz="1000">
            <a:solidFill>
              <a:schemeClr val="dk1"/>
            </a:solidFill>
            <a:latin typeface="Arial" pitchFamily="34" charset="0"/>
            <a:ea typeface="+mn-ea"/>
            <a:cs typeface="Arial" pitchFamily="34" charset="0"/>
          </a:endParaRPr>
        </a:p>
      </xdr:txBody>
    </xdr:sp>
    <xdr:clientData/>
  </xdr:twoCellAnchor>
  <xdr:twoCellAnchor>
    <xdr:from>
      <xdr:col>0</xdr:col>
      <xdr:colOff>0</xdr:colOff>
      <xdr:row>52</xdr:row>
      <xdr:rowOff>11205</xdr:rowOff>
    </xdr:from>
    <xdr:to>
      <xdr:col>2</xdr:col>
      <xdr:colOff>11206</xdr:colOff>
      <xdr:row>57</xdr:row>
      <xdr:rowOff>280148</xdr:rowOff>
    </xdr:to>
    <xdr:sp macro="" textlink="">
      <xdr:nvSpPr>
        <xdr:cNvPr id="13" name="CaixaDeTexto 12">
          <a:extLst>
            <a:ext uri="{FF2B5EF4-FFF2-40B4-BE49-F238E27FC236}">
              <a16:creationId xmlns:a16="http://schemas.microsoft.com/office/drawing/2014/main" id="{F8A9B5B1-21CC-4567-A685-555A12C980C9}"/>
            </a:ext>
          </a:extLst>
        </xdr:cNvPr>
        <xdr:cNvSpPr txBox="1"/>
      </xdr:nvSpPr>
      <xdr:spPr>
        <a:xfrm>
          <a:off x="0" y="9547411"/>
          <a:ext cx="3922059" cy="1344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_____________________________________________________</a:t>
          </a:r>
        </a:p>
        <a:p>
          <a:pPr algn="ctr"/>
          <a:r>
            <a:rPr lang="pt-BR" sz="1100">
              <a:solidFill>
                <a:schemeClr val="dk1"/>
              </a:solidFill>
              <a:effectLst/>
              <a:latin typeface="+mn-lt"/>
              <a:ea typeface="+mn-ea"/>
              <a:cs typeface="+mn-cs"/>
            </a:rPr>
            <a:t>Raphael Luiz Soares Cerqueira</a:t>
          </a:r>
          <a:endParaRPr lang="pt-BR" sz="1000">
            <a:effectLst/>
          </a:endParaRPr>
        </a:p>
        <a:p>
          <a:pPr algn="ctr"/>
          <a:r>
            <a:rPr lang="pt-BR" sz="1100" baseline="0">
              <a:solidFill>
                <a:schemeClr val="dk1"/>
              </a:solidFill>
              <a:effectLst/>
              <a:latin typeface="+mn-lt"/>
              <a:ea typeface="+mn-ea"/>
              <a:cs typeface="+mn-cs"/>
            </a:rPr>
            <a:t>Engenheiro Civil</a:t>
          </a:r>
          <a:endParaRPr lang="pt-BR" sz="1000">
            <a:effectLst/>
          </a:endParaRPr>
        </a:p>
        <a:p>
          <a:pPr algn="ctr"/>
          <a:r>
            <a:rPr lang="pt-BR" sz="1100" baseline="0">
              <a:solidFill>
                <a:schemeClr val="dk1"/>
              </a:solidFill>
              <a:effectLst/>
              <a:latin typeface="+mn-lt"/>
              <a:ea typeface="+mn-ea"/>
              <a:cs typeface="+mn-cs"/>
            </a:rPr>
            <a:t>CREA-RJ 2020100179/D</a:t>
          </a:r>
          <a:endParaRPr lang="pt-BR" sz="1000">
            <a:effectLst/>
          </a:endParaRPr>
        </a:p>
        <a:p>
          <a:pPr algn="ctr"/>
          <a:r>
            <a:rPr lang="pt-BR" sz="1100" baseline="0">
              <a:solidFill>
                <a:schemeClr val="dk1"/>
              </a:solidFill>
              <a:effectLst/>
              <a:latin typeface="+mn-lt"/>
              <a:ea typeface="+mn-ea"/>
              <a:cs typeface="+mn-cs"/>
            </a:rPr>
            <a:t>Assessor de Supervisão de Infraestrutura Escolar</a:t>
          </a:r>
          <a:endParaRPr lang="pt-BR" sz="1000">
            <a:effectLst/>
          </a:endParaRPr>
        </a:p>
        <a:p>
          <a:endParaRPr lang="pt-BR" sz="1100"/>
        </a:p>
      </xdr:txBody>
    </xdr:sp>
    <xdr:clientData/>
  </xdr:twoCellAnchor>
  <xdr:twoCellAnchor>
    <xdr:from>
      <xdr:col>4</xdr:col>
      <xdr:colOff>638735</xdr:colOff>
      <xdr:row>52</xdr:row>
      <xdr:rowOff>1</xdr:rowOff>
    </xdr:from>
    <xdr:to>
      <xdr:col>9</xdr:col>
      <xdr:colOff>90454</xdr:colOff>
      <xdr:row>58</xdr:row>
      <xdr:rowOff>11208</xdr:rowOff>
    </xdr:to>
    <xdr:sp macro="" textlink="">
      <xdr:nvSpPr>
        <xdr:cNvPr id="14" name="CaixaDeTexto 13">
          <a:extLst>
            <a:ext uri="{FF2B5EF4-FFF2-40B4-BE49-F238E27FC236}">
              <a16:creationId xmlns:a16="http://schemas.microsoft.com/office/drawing/2014/main" id="{0B8ACFD6-7EE8-43BB-B8AC-FAE3E863C8A6}"/>
            </a:ext>
          </a:extLst>
        </xdr:cNvPr>
        <xdr:cNvSpPr txBox="1"/>
      </xdr:nvSpPr>
      <xdr:spPr>
        <a:xfrm>
          <a:off x="5961529" y="9536207"/>
          <a:ext cx="3878043" cy="1411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__________________________________________________</a:t>
          </a:r>
        </a:p>
        <a:p>
          <a:pPr algn="ctr"/>
          <a:r>
            <a:rPr lang="pt-BR" sz="1000" baseline="0">
              <a:latin typeface="Arial" pitchFamily="34" charset="0"/>
              <a:cs typeface="Arial" pitchFamily="34" charset="0"/>
            </a:rPr>
            <a:t>Ioannis Konstantinos Grammatikopoulos</a:t>
          </a:r>
        </a:p>
        <a:p>
          <a:pPr algn="ctr"/>
          <a:r>
            <a:rPr lang="pt-BR" sz="1000" baseline="0">
              <a:latin typeface="Arial" pitchFamily="34" charset="0"/>
              <a:cs typeface="Arial" pitchFamily="34" charset="0"/>
            </a:rPr>
            <a:t>Prefeito Municipal</a:t>
          </a:r>
        </a:p>
        <a:p>
          <a:pPr algn="ctr"/>
          <a:r>
            <a:rPr lang="pt-BR" sz="1000" baseline="0">
              <a:latin typeface="Arial" pitchFamily="34" charset="0"/>
              <a:cs typeface="Arial" pitchFamily="34" charset="0"/>
            </a:rPr>
            <a:t>Prefeitura Municipal de Muriaé</a:t>
          </a:r>
        </a:p>
        <a:p>
          <a:pPr algn="ctr"/>
          <a:r>
            <a:rPr lang="pt-BR" sz="1000" baseline="0">
              <a:latin typeface="Arial" pitchFamily="34" charset="0"/>
              <a:cs typeface="Arial" pitchFamily="34" charset="0"/>
            </a:rPr>
            <a:t>CNPJ: 17.947.581/0001-76</a:t>
          </a:r>
        </a:p>
        <a:p>
          <a:pPr algn="ctr"/>
          <a:endParaRPr lang="pt-BR" sz="1050" baseline="0">
            <a:latin typeface="Arial" pitchFamily="34" charset="0"/>
            <a:cs typeface="Arial" pitchFamily="34" charset="0"/>
          </a:endParaRPr>
        </a:p>
        <a:p>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123266</xdr:colOff>
      <xdr:row>0</xdr:row>
      <xdr:rowOff>89647</xdr:rowOff>
    </xdr:from>
    <xdr:to>
      <xdr:col>1</xdr:col>
      <xdr:colOff>57526</xdr:colOff>
      <xdr:row>4</xdr:row>
      <xdr:rowOff>105247</xdr:rowOff>
    </xdr:to>
    <xdr:pic>
      <xdr:nvPicPr>
        <xdr:cNvPr id="3" name="Imagem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123266" y="89647"/>
          <a:ext cx="810000" cy="777600"/>
        </a:xfrm>
        <a:prstGeom prst="rect">
          <a:avLst/>
        </a:prstGeom>
        <a:ln>
          <a:noFill/>
        </a:ln>
      </xdr:spPr>
    </xdr:pic>
    <xdr:clientData/>
  </xdr:twoCellAnchor>
  <xdr:twoCellAnchor>
    <xdr:from>
      <xdr:col>1</xdr:col>
      <xdr:colOff>246419</xdr:colOff>
      <xdr:row>0</xdr:row>
      <xdr:rowOff>67374</xdr:rowOff>
    </xdr:from>
    <xdr:to>
      <xdr:col>6</xdr:col>
      <xdr:colOff>33617</xdr:colOff>
      <xdr:row>4</xdr:row>
      <xdr:rowOff>100992</xdr:rowOff>
    </xdr:to>
    <xdr:sp macro="" textlink="">
      <xdr:nvSpPr>
        <xdr:cNvPr id="4" name="CaixaDeTexto 3">
          <a:extLst>
            <a:ext uri="{FF2B5EF4-FFF2-40B4-BE49-F238E27FC236}">
              <a16:creationId xmlns:a16="http://schemas.microsoft.com/office/drawing/2014/main" id="{00000000-0008-0000-0200-000004000000}"/>
            </a:ext>
          </a:extLst>
        </xdr:cNvPr>
        <xdr:cNvSpPr txBox="1"/>
      </xdr:nvSpPr>
      <xdr:spPr>
        <a:xfrm>
          <a:off x="941184" y="67374"/>
          <a:ext cx="5603051" cy="79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lang="x-none" sz="1600" b="1">
              <a:solidFill>
                <a:schemeClr val="dk1"/>
              </a:solidFill>
              <a:latin typeface="Arial" pitchFamily="34" charset="0"/>
              <a:ea typeface="+mn-ea"/>
              <a:cs typeface="Arial" pitchFamily="34" charset="0"/>
            </a:rPr>
            <a:t>MUNICÍPIO DE MURIAÉ</a:t>
          </a:r>
          <a:endParaRPr lang="pt-BR" sz="1600">
            <a:solidFill>
              <a:schemeClr val="dk1"/>
            </a:solidFill>
            <a:latin typeface="Arial" pitchFamily="34" charset="0"/>
            <a:ea typeface="+mn-ea"/>
            <a:cs typeface="Arial" pitchFamily="34" charset="0"/>
          </a:endParaRPr>
        </a:p>
        <a:p>
          <a:r>
            <a:rPr lang="x-none" sz="1600">
              <a:solidFill>
                <a:schemeClr val="dk1"/>
              </a:solidFill>
              <a:latin typeface="Arial" pitchFamily="34" charset="0"/>
              <a:ea typeface="+mn-ea"/>
              <a:cs typeface="Arial" pitchFamily="34" charset="0"/>
            </a:rPr>
            <a:t>SECRETARIA MUNICIPAL DE EDUCAÇ</a:t>
          </a:r>
          <a:r>
            <a:rPr lang="pt-BR" sz="1600">
              <a:solidFill>
                <a:schemeClr val="dk1"/>
              </a:solidFill>
              <a:latin typeface="Arial" pitchFamily="34" charset="0"/>
              <a:ea typeface="+mn-ea"/>
              <a:cs typeface="Arial" pitchFamily="34" charset="0"/>
            </a:rPr>
            <a:t>ÃO</a:t>
          </a:r>
        </a:p>
      </xdr:txBody>
    </xdr:sp>
    <xdr:clientData/>
  </xdr:twoCellAnchor>
  <xdr:twoCellAnchor>
    <xdr:from>
      <xdr:col>1</xdr:col>
      <xdr:colOff>299752</xdr:colOff>
      <xdr:row>79</xdr:row>
      <xdr:rowOff>167372</xdr:rowOff>
    </xdr:from>
    <xdr:to>
      <xdr:col>4</xdr:col>
      <xdr:colOff>86841</xdr:colOff>
      <xdr:row>81</xdr:row>
      <xdr:rowOff>223401</xdr:rowOff>
    </xdr:to>
    <xdr:sp macro="" textlink="">
      <xdr:nvSpPr>
        <xdr:cNvPr id="6" name="CaixaDeTexto 5">
          <a:extLst>
            <a:ext uri="{FF2B5EF4-FFF2-40B4-BE49-F238E27FC236}">
              <a16:creationId xmlns:a16="http://schemas.microsoft.com/office/drawing/2014/main" id="{00000000-0008-0000-0200-000006000000}"/>
            </a:ext>
          </a:extLst>
        </xdr:cNvPr>
        <xdr:cNvSpPr txBox="1"/>
      </xdr:nvSpPr>
      <xdr:spPr>
        <a:xfrm>
          <a:off x="1174320" y="4990486"/>
          <a:ext cx="4714112"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1000">
              <a:solidFill>
                <a:schemeClr val="dk1"/>
              </a:solidFill>
              <a:latin typeface="Arial" pitchFamily="34" charset="0"/>
              <a:ea typeface="+mn-ea"/>
              <a:cs typeface="Arial" pitchFamily="34" charset="0"/>
            </a:rPr>
            <a:t>PREFEITURA MUNICIPAL DE MURIAÉ</a:t>
          </a:r>
          <a:endParaRPr lang="pt-BR" sz="1000">
            <a:solidFill>
              <a:schemeClr val="dk1"/>
            </a:solidFill>
            <a:latin typeface="Arial" pitchFamily="34" charset="0"/>
            <a:ea typeface="+mn-ea"/>
            <a:cs typeface="Arial" pitchFamily="34" charset="0"/>
          </a:endParaRPr>
        </a:p>
        <a:p>
          <a:pPr algn="ctr"/>
          <a:r>
            <a:rPr lang="pt-PT" sz="1000">
              <a:solidFill>
                <a:schemeClr val="dk1"/>
              </a:solidFill>
              <a:latin typeface="Arial" pitchFamily="34" charset="0"/>
              <a:ea typeface="+mn-ea"/>
              <a:cs typeface="Arial" pitchFamily="34" charset="0"/>
            </a:rPr>
            <a:t>Av. Maestro Sansão, 236 – Centro </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Cep: 36880-002 – Muriaé – MG – tel: (32) 3696-3388</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https://muriae.mg.gov.br/</a:t>
          </a:r>
          <a:endParaRPr lang="pt-BR" sz="1000">
            <a:solidFill>
              <a:schemeClr val="dk1"/>
            </a:solidFill>
            <a:latin typeface="Arial" pitchFamily="34" charset="0"/>
            <a:ea typeface="+mn-ea"/>
            <a:cs typeface="Arial" pitchFamily="34" charset="0"/>
          </a:endParaRPr>
        </a:p>
      </xdr:txBody>
    </xdr:sp>
    <xdr:clientData/>
  </xdr:twoCellAnchor>
  <xdr:twoCellAnchor>
    <xdr:from>
      <xdr:col>1</xdr:col>
      <xdr:colOff>211231</xdr:colOff>
      <xdr:row>74</xdr:row>
      <xdr:rowOff>168241</xdr:rowOff>
    </xdr:from>
    <xdr:to>
      <xdr:col>4</xdr:col>
      <xdr:colOff>46504</xdr:colOff>
      <xdr:row>79</xdr:row>
      <xdr:rowOff>90921</xdr:rowOff>
    </xdr:to>
    <xdr:sp macro="" textlink="">
      <xdr:nvSpPr>
        <xdr:cNvPr id="7" name="CaixaDeTexto 6">
          <a:extLst>
            <a:ext uri="{FF2B5EF4-FFF2-40B4-BE49-F238E27FC236}">
              <a16:creationId xmlns:a16="http://schemas.microsoft.com/office/drawing/2014/main" id="{00000000-0008-0000-0200-000007000000}"/>
            </a:ext>
          </a:extLst>
        </xdr:cNvPr>
        <xdr:cNvSpPr txBox="1"/>
      </xdr:nvSpPr>
      <xdr:spPr>
        <a:xfrm>
          <a:off x="1085799" y="4038855"/>
          <a:ext cx="4762296" cy="87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000"/>
            <a:t>_____________________________________________________</a:t>
          </a:r>
        </a:p>
        <a:p>
          <a:pPr algn="ctr"/>
          <a:r>
            <a:rPr lang="pt-BR" sz="1100">
              <a:solidFill>
                <a:schemeClr val="dk1"/>
              </a:solidFill>
              <a:effectLst/>
              <a:latin typeface="+mn-lt"/>
              <a:ea typeface="+mn-ea"/>
              <a:cs typeface="+mn-cs"/>
            </a:rPr>
            <a:t>Raphael Luiz Soares Cerqueira</a:t>
          </a:r>
          <a:endParaRPr lang="pt-BR" sz="1000">
            <a:effectLst/>
          </a:endParaRPr>
        </a:p>
        <a:p>
          <a:pPr algn="ctr"/>
          <a:r>
            <a:rPr lang="pt-BR" sz="1100" baseline="0">
              <a:solidFill>
                <a:schemeClr val="dk1"/>
              </a:solidFill>
              <a:effectLst/>
              <a:latin typeface="+mn-lt"/>
              <a:ea typeface="+mn-ea"/>
              <a:cs typeface="+mn-cs"/>
            </a:rPr>
            <a:t>Engenheiro Civil</a:t>
          </a:r>
          <a:endParaRPr lang="pt-BR" sz="1000">
            <a:effectLst/>
          </a:endParaRPr>
        </a:p>
        <a:p>
          <a:pPr algn="ctr"/>
          <a:r>
            <a:rPr lang="pt-BR" sz="1100" baseline="0">
              <a:solidFill>
                <a:schemeClr val="dk1"/>
              </a:solidFill>
              <a:effectLst/>
              <a:latin typeface="+mn-lt"/>
              <a:ea typeface="+mn-ea"/>
              <a:cs typeface="+mn-cs"/>
            </a:rPr>
            <a:t>CREA-RJ 2020100179/D</a:t>
          </a:r>
          <a:endParaRPr lang="pt-BR" sz="1000">
            <a:effectLst/>
          </a:endParaRPr>
        </a:p>
        <a:p>
          <a:pPr algn="ctr"/>
          <a:r>
            <a:rPr lang="pt-BR" sz="1100" baseline="0">
              <a:solidFill>
                <a:schemeClr val="dk1"/>
              </a:solidFill>
              <a:effectLst/>
              <a:latin typeface="+mn-lt"/>
              <a:ea typeface="+mn-ea"/>
              <a:cs typeface="+mn-cs"/>
            </a:rPr>
            <a:t>Assessor de Supervisão de Infraestrutura Escolar</a:t>
          </a:r>
          <a:endParaRPr lang="pt-BR" sz="1000">
            <a:effectLst/>
          </a:endParaRPr>
        </a:p>
        <a:p>
          <a:pPr algn="ctr"/>
          <a:endParaRPr lang="pt-BR" sz="1000" baseline="0">
            <a:latin typeface="Arial" pitchFamily="34" charset="0"/>
            <a:cs typeface="Arial" pitchFamily="34" charset="0"/>
          </a:endParaRPr>
        </a:p>
        <a:p>
          <a:endParaRPr lang="pt-BR"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70186</xdr:colOff>
      <xdr:row>0</xdr:row>
      <xdr:rowOff>50129</xdr:rowOff>
    </xdr:from>
    <xdr:to>
      <xdr:col>1</xdr:col>
      <xdr:colOff>360322</xdr:colOff>
      <xdr:row>4</xdr:row>
      <xdr:rowOff>105834</xdr:rowOff>
    </xdr:to>
    <xdr:pic>
      <xdr:nvPicPr>
        <xdr:cNvPr id="2" name="Imagem 1">
          <a:extLst>
            <a:ext uri="{FF2B5EF4-FFF2-40B4-BE49-F238E27FC236}">
              <a16:creationId xmlns:a16="http://schemas.microsoft.com/office/drawing/2014/main" id="{10B14EA7-F6BC-4589-BA2D-903A407ADFDE}"/>
            </a:ext>
          </a:extLst>
        </xdr:cNvPr>
        <xdr:cNvPicPr/>
      </xdr:nvPicPr>
      <xdr:blipFill>
        <a:blip xmlns:r="http://schemas.openxmlformats.org/officeDocument/2006/relationships" r:embed="rId1"/>
        <a:stretch/>
      </xdr:blipFill>
      <xdr:spPr>
        <a:xfrm>
          <a:off x="70186" y="50129"/>
          <a:ext cx="814011" cy="779605"/>
        </a:xfrm>
        <a:prstGeom prst="rect">
          <a:avLst/>
        </a:prstGeom>
        <a:noFill/>
        <a:ln>
          <a:noFill/>
        </a:ln>
      </xdr:spPr>
    </xdr:pic>
    <xdr:clientData/>
  </xdr:twoCellAnchor>
  <xdr:twoCellAnchor>
    <xdr:from>
      <xdr:col>1</xdr:col>
      <xdr:colOff>216341</xdr:colOff>
      <xdr:row>0</xdr:row>
      <xdr:rowOff>147582</xdr:rowOff>
    </xdr:from>
    <xdr:to>
      <xdr:col>4</xdr:col>
      <xdr:colOff>1012657</xdr:colOff>
      <xdr:row>4</xdr:row>
      <xdr:rowOff>30805</xdr:rowOff>
    </xdr:to>
    <xdr:sp macro="" textlink="">
      <xdr:nvSpPr>
        <xdr:cNvPr id="3" name="CaixaDeTexto 2">
          <a:extLst>
            <a:ext uri="{FF2B5EF4-FFF2-40B4-BE49-F238E27FC236}">
              <a16:creationId xmlns:a16="http://schemas.microsoft.com/office/drawing/2014/main" id="{2034E724-89FF-47DE-A00F-74711E8CE6BE}"/>
            </a:ext>
          </a:extLst>
        </xdr:cNvPr>
        <xdr:cNvSpPr txBox="1"/>
      </xdr:nvSpPr>
      <xdr:spPr>
        <a:xfrm>
          <a:off x="902141" y="147582"/>
          <a:ext cx="5396891" cy="607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x-none" sz="1600" b="1">
              <a:solidFill>
                <a:schemeClr val="dk1"/>
              </a:solidFill>
              <a:latin typeface="Arial" pitchFamily="34" charset="0"/>
              <a:ea typeface="+mn-ea"/>
              <a:cs typeface="Arial" pitchFamily="34" charset="0"/>
            </a:rPr>
            <a:t>MUNICÍPIO DE MURIAÉ</a:t>
          </a:r>
          <a:endParaRPr lang="pt-BR" sz="1600">
            <a:solidFill>
              <a:schemeClr val="dk1"/>
            </a:solidFill>
            <a:latin typeface="Arial" pitchFamily="34" charset="0"/>
            <a:ea typeface="+mn-ea"/>
            <a:cs typeface="Arial" pitchFamily="34" charset="0"/>
          </a:endParaRPr>
        </a:p>
        <a:p>
          <a:r>
            <a:rPr lang="x-none" sz="1600">
              <a:solidFill>
                <a:schemeClr val="dk1"/>
              </a:solidFill>
              <a:latin typeface="Arial" pitchFamily="34" charset="0"/>
              <a:ea typeface="+mn-ea"/>
              <a:cs typeface="Arial" pitchFamily="34" charset="0"/>
            </a:rPr>
            <a:t>SECRETARIA MUNICIPAL DE EDUCAÇ</a:t>
          </a:r>
          <a:r>
            <a:rPr lang="pt-BR" sz="1600">
              <a:solidFill>
                <a:schemeClr val="dk1"/>
              </a:solidFill>
              <a:latin typeface="Arial" pitchFamily="34" charset="0"/>
              <a:ea typeface="+mn-ea"/>
              <a:cs typeface="Arial" pitchFamily="34" charset="0"/>
            </a:rPr>
            <a:t>ÃO</a:t>
          </a:r>
        </a:p>
      </xdr:txBody>
    </xdr:sp>
    <xdr:clientData/>
  </xdr:twoCellAnchor>
  <xdr:twoCellAnchor>
    <xdr:from>
      <xdr:col>2</xdr:col>
      <xdr:colOff>9525</xdr:colOff>
      <xdr:row>24</xdr:row>
      <xdr:rowOff>95250</xdr:rowOff>
    </xdr:from>
    <xdr:to>
      <xdr:col>4</xdr:col>
      <xdr:colOff>1371396</xdr:colOff>
      <xdr:row>29</xdr:row>
      <xdr:rowOff>117510</xdr:rowOff>
    </xdr:to>
    <xdr:sp macro="" textlink="">
      <xdr:nvSpPr>
        <xdr:cNvPr id="6" name="CaixaDeTexto 5">
          <a:extLst>
            <a:ext uri="{FF2B5EF4-FFF2-40B4-BE49-F238E27FC236}">
              <a16:creationId xmlns:a16="http://schemas.microsoft.com/office/drawing/2014/main" id="{516A5B20-FAF2-489D-91D8-18A9F14D4CF5}"/>
            </a:ext>
          </a:extLst>
        </xdr:cNvPr>
        <xdr:cNvSpPr txBox="1"/>
      </xdr:nvSpPr>
      <xdr:spPr>
        <a:xfrm>
          <a:off x="1219200" y="7915275"/>
          <a:ext cx="4762296" cy="9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000"/>
            <a:t>_____________________________________________________</a:t>
          </a:r>
        </a:p>
        <a:p>
          <a:pPr algn="ctr"/>
          <a:r>
            <a:rPr lang="pt-BR" sz="1100">
              <a:solidFill>
                <a:schemeClr val="dk1"/>
              </a:solidFill>
              <a:effectLst/>
              <a:latin typeface="+mn-lt"/>
              <a:ea typeface="+mn-ea"/>
              <a:cs typeface="+mn-cs"/>
            </a:rPr>
            <a:t>Raphael Luiz Soares Cerqueira</a:t>
          </a:r>
          <a:endParaRPr lang="pt-BR" sz="1000">
            <a:effectLst/>
          </a:endParaRPr>
        </a:p>
        <a:p>
          <a:pPr algn="ctr"/>
          <a:r>
            <a:rPr lang="pt-BR" sz="1100" baseline="0">
              <a:solidFill>
                <a:schemeClr val="dk1"/>
              </a:solidFill>
              <a:effectLst/>
              <a:latin typeface="+mn-lt"/>
              <a:ea typeface="+mn-ea"/>
              <a:cs typeface="+mn-cs"/>
            </a:rPr>
            <a:t>Engenheiro Civil</a:t>
          </a:r>
          <a:endParaRPr lang="pt-BR" sz="1000">
            <a:effectLst/>
          </a:endParaRPr>
        </a:p>
        <a:p>
          <a:pPr algn="ctr"/>
          <a:r>
            <a:rPr lang="pt-BR" sz="1100" baseline="0">
              <a:solidFill>
                <a:schemeClr val="dk1"/>
              </a:solidFill>
              <a:effectLst/>
              <a:latin typeface="+mn-lt"/>
              <a:ea typeface="+mn-ea"/>
              <a:cs typeface="+mn-cs"/>
            </a:rPr>
            <a:t>CREA-RJ 2020100179/D</a:t>
          </a:r>
          <a:endParaRPr lang="pt-BR" sz="1000">
            <a:effectLst/>
          </a:endParaRPr>
        </a:p>
        <a:p>
          <a:pPr algn="ctr"/>
          <a:r>
            <a:rPr lang="pt-BR" sz="1100" baseline="0">
              <a:solidFill>
                <a:schemeClr val="dk1"/>
              </a:solidFill>
              <a:effectLst/>
              <a:latin typeface="+mn-lt"/>
              <a:ea typeface="+mn-ea"/>
              <a:cs typeface="+mn-cs"/>
            </a:rPr>
            <a:t>Assessor de Supervisão de Infraestrutura Escolar</a:t>
          </a:r>
          <a:endParaRPr lang="pt-BR" sz="1000">
            <a:effectLst/>
          </a:endParaRPr>
        </a:p>
        <a:p>
          <a:pPr algn="ctr"/>
          <a:endParaRPr lang="pt-BR" sz="1000" baseline="0">
            <a:latin typeface="Arial" pitchFamily="34" charset="0"/>
            <a:cs typeface="Arial" pitchFamily="34" charset="0"/>
          </a:endParaRPr>
        </a:p>
        <a:p>
          <a:endParaRPr lang="pt-BR" sz="1000"/>
        </a:p>
      </xdr:txBody>
    </xdr:sp>
    <xdr:clientData/>
  </xdr:twoCellAnchor>
  <xdr:twoCellAnchor>
    <xdr:from>
      <xdr:col>2</xdr:col>
      <xdr:colOff>57150</xdr:colOff>
      <xdr:row>30</xdr:row>
      <xdr:rowOff>9525</xdr:rowOff>
    </xdr:from>
    <xdr:to>
      <xdr:col>4</xdr:col>
      <xdr:colOff>1370837</xdr:colOff>
      <xdr:row>32</xdr:row>
      <xdr:rowOff>84604</xdr:rowOff>
    </xdr:to>
    <xdr:sp macro="" textlink="">
      <xdr:nvSpPr>
        <xdr:cNvPr id="7" name="CaixaDeTexto 6">
          <a:extLst>
            <a:ext uri="{FF2B5EF4-FFF2-40B4-BE49-F238E27FC236}">
              <a16:creationId xmlns:a16="http://schemas.microsoft.com/office/drawing/2014/main" id="{C7A84E81-9657-4DD3-9378-EA2C18166095}"/>
            </a:ext>
          </a:extLst>
        </xdr:cNvPr>
        <xdr:cNvSpPr txBox="1"/>
      </xdr:nvSpPr>
      <xdr:spPr>
        <a:xfrm>
          <a:off x="1266825" y="8915400"/>
          <a:ext cx="4714112"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1000">
              <a:solidFill>
                <a:schemeClr val="dk1"/>
              </a:solidFill>
              <a:latin typeface="Arial" pitchFamily="34" charset="0"/>
              <a:ea typeface="+mn-ea"/>
              <a:cs typeface="Arial" pitchFamily="34" charset="0"/>
            </a:rPr>
            <a:t>PREFEITURA MUNICIPAL DE MURIAÉ</a:t>
          </a:r>
          <a:endParaRPr lang="pt-BR" sz="1000">
            <a:solidFill>
              <a:schemeClr val="dk1"/>
            </a:solidFill>
            <a:latin typeface="Arial" pitchFamily="34" charset="0"/>
            <a:ea typeface="+mn-ea"/>
            <a:cs typeface="Arial" pitchFamily="34" charset="0"/>
          </a:endParaRPr>
        </a:p>
        <a:p>
          <a:pPr algn="ctr"/>
          <a:r>
            <a:rPr lang="pt-PT" sz="1000">
              <a:solidFill>
                <a:schemeClr val="dk1"/>
              </a:solidFill>
              <a:latin typeface="Arial" pitchFamily="34" charset="0"/>
              <a:ea typeface="+mn-ea"/>
              <a:cs typeface="Arial" pitchFamily="34" charset="0"/>
            </a:rPr>
            <a:t>Av. Maestro Sansão, 236 – Centro </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Cep: 36880-002 – Muriaé – MG – tel: (32) 3696-3388</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https://muriae.mg.gov.br/</a:t>
          </a:r>
          <a:endParaRPr lang="pt-BR" sz="1000">
            <a:solidFill>
              <a:schemeClr val="dk1"/>
            </a:solidFill>
            <a:latin typeface="Arial" pitchFamily="34" charset="0"/>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ral/OBRAS%20EDUCA&#199;&#195;O/CONSTRU&#199;&#195;O%20ESCOLAS/CONSTRU&#199;&#195;O%20ESCOLA%20MUNICIPAL%20BOM%20PASTOR/PLANILHA%20OR&#199;AMENT&#193;RIA/PLANILHA%20OR&#199;AMENT&#193;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sheetName val="CRONOGRAMA"/>
      <sheetName val="CCU "/>
      <sheetName val="COTAÇÃO"/>
      <sheetName val="MEMORIAL DE CALCULO"/>
    </sheetNames>
    <sheetDataSet>
      <sheetData sheetId="0"/>
      <sheetData sheetId="1"/>
      <sheetData sheetId="2"/>
      <sheetData sheetId="3">
        <row r="18">
          <cell r="B18"/>
        </row>
        <row r="21">
          <cell r="D21">
            <v>3100</v>
          </cell>
        </row>
      </sheetData>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95"/>
  <sheetViews>
    <sheetView showGridLines="0" tabSelected="1" topLeftCell="A87" zoomScaleNormal="100" workbookViewId="0">
      <selection activeCell="G105" sqref="G105:G106"/>
    </sheetView>
  </sheetViews>
  <sheetFormatPr defaultRowHeight="14.25"/>
  <cols>
    <col min="1" max="1" width="5.625" style="2" bestFit="1" customWidth="1"/>
    <col min="2" max="2" width="13.125" style="2" bestFit="1" customWidth="1"/>
    <col min="3" max="3" width="10.125" style="2" bestFit="1" customWidth="1"/>
    <col min="4" max="4" width="55.375" style="67" customWidth="1"/>
    <col min="5" max="5" width="4.875" style="1" bestFit="1" customWidth="1"/>
    <col min="6" max="6" width="8.75" style="4" bestFit="1" customWidth="1"/>
    <col min="7" max="7" width="11.375" style="57" bestFit="1" customWidth="1"/>
    <col min="8" max="8" width="11.375" style="3" bestFit="1" customWidth="1"/>
    <col min="9" max="9" width="14.375" style="3" customWidth="1"/>
    <col min="10" max="10" width="3.5" style="26" customWidth="1"/>
    <col min="11" max="11" width="10.625" style="26" customWidth="1"/>
    <col min="12" max="12" width="9" style="26" customWidth="1"/>
    <col min="13" max="13" width="8.5" style="26" customWidth="1"/>
    <col min="14" max="60" width="9" style="26" customWidth="1"/>
    <col min="61" max="1024" width="9" style="3" customWidth="1"/>
  </cols>
  <sheetData>
    <row r="1" spans="1:1024">
      <c r="A1" s="291"/>
      <c r="B1" s="292"/>
      <c r="C1" s="292"/>
      <c r="D1" s="292"/>
      <c r="E1" s="292"/>
      <c r="F1" s="292"/>
      <c r="G1" s="292"/>
      <c r="H1" s="292"/>
      <c r="I1" s="293"/>
    </row>
    <row r="2" spans="1:1024">
      <c r="A2" s="294"/>
      <c r="B2" s="295"/>
      <c r="C2" s="295"/>
      <c r="D2" s="295"/>
      <c r="E2" s="295"/>
      <c r="F2" s="295"/>
      <c r="G2" s="295"/>
      <c r="H2" s="295"/>
      <c r="I2" s="296"/>
    </row>
    <row r="3" spans="1:1024">
      <c r="A3" s="294"/>
      <c r="B3" s="295"/>
      <c r="C3" s="295"/>
      <c r="D3" s="295"/>
      <c r="E3" s="295"/>
      <c r="F3" s="295"/>
      <c r="G3" s="295"/>
      <c r="H3" s="295"/>
      <c r="I3" s="296"/>
    </row>
    <row r="4" spans="1:1024">
      <c r="A4" s="294"/>
      <c r="B4" s="295"/>
      <c r="C4" s="295"/>
      <c r="D4" s="295"/>
      <c r="E4" s="295"/>
      <c r="F4" s="295"/>
      <c r="G4" s="295"/>
      <c r="H4" s="295"/>
      <c r="I4" s="296"/>
    </row>
    <row r="5" spans="1:1024">
      <c r="A5" s="297"/>
      <c r="B5" s="298"/>
      <c r="C5" s="298"/>
      <c r="D5" s="298"/>
      <c r="E5" s="298"/>
      <c r="F5" s="298"/>
      <c r="G5" s="298"/>
      <c r="H5" s="298"/>
      <c r="I5" s="299"/>
    </row>
    <row r="6" spans="1:1024" ht="8.25" customHeight="1">
      <c r="A6" s="6"/>
      <c r="B6" s="6"/>
      <c r="C6" s="6"/>
      <c r="D6" s="7"/>
      <c r="E6" s="5"/>
      <c r="F6" s="8"/>
      <c r="G6" s="54"/>
      <c r="H6" s="5"/>
      <c r="I6" s="5"/>
    </row>
    <row r="7" spans="1:1024" ht="18">
      <c r="A7" s="300" t="s">
        <v>92</v>
      </c>
      <c r="B7" s="301"/>
      <c r="C7" s="301"/>
      <c r="D7" s="301"/>
      <c r="E7" s="301"/>
      <c r="F7" s="301"/>
      <c r="G7" s="301"/>
      <c r="H7" s="301"/>
      <c r="I7" s="302"/>
    </row>
    <row r="8" spans="1:1024" s="43" customFormat="1" ht="15">
      <c r="A8" s="303" t="s">
        <v>585</v>
      </c>
      <c r="B8" s="304"/>
      <c r="C8" s="304"/>
      <c r="D8" s="305"/>
      <c r="E8" s="46" t="s">
        <v>1</v>
      </c>
      <c r="F8" s="47">
        <v>1</v>
      </c>
      <c r="G8" s="55"/>
      <c r="H8" s="48"/>
      <c r="I8" s="122">
        <f>H168</f>
        <v>143692.85999999999</v>
      </c>
      <c r="J8" s="49"/>
      <c r="K8" s="49"/>
      <c r="L8" s="49"/>
      <c r="M8" s="154"/>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row>
    <row r="9" spans="1:1024" s="43" customFormat="1" ht="15">
      <c r="A9" s="309" t="s">
        <v>794</v>
      </c>
      <c r="B9" s="310"/>
      <c r="C9" s="310"/>
      <c r="D9" s="310"/>
      <c r="E9" s="310"/>
      <c r="F9" s="310"/>
      <c r="G9" s="310"/>
      <c r="H9" s="58" t="s">
        <v>89</v>
      </c>
      <c r="I9" s="90">
        <v>44159</v>
      </c>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c r="OI9" s="50"/>
      <c r="OJ9" s="50"/>
      <c r="OK9" s="50"/>
      <c r="OL9" s="50"/>
      <c r="OM9" s="50"/>
      <c r="ON9" s="50"/>
      <c r="OO9" s="50"/>
      <c r="OP9" s="50"/>
      <c r="OQ9" s="50"/>
      <c r="OR9" s="50"/>
      <c r="OS9" s="50"/>
      <c r="OT9" s="50"/>
      <c r="OU9" s="50"/>
      <c r="OV9" s="50"/>
      <c r="OW9" s="50"/>
      <c r="OX9" s="50"/>
      <c r="OY9" s="50"/>
      <c r="OZ9" s="50"/>
      <c r="PA9" s="50"/>
      <c r="PB9" s="50"/>
      <c r="PC9" s="50"/>
      <c r="PD9" s="50"/>
      <c r="PE9" s="50"/>
      <c r="PF9" s="50"/>
      <c r="PG9" s="50"/>
      <c r="PH9" s="50"/>
      <c r="PI9" s="50"/>
      <c r="PJ9" s="50"/>
      <c r="PK9" s="50"/>
      <c r="PL9" s="50"/>
      <c r="PM9" s="50"/>
      <c r="PN9" s="50"/>
      <c r="PO9" s="50"/>
      <c r="PP9" s="50"/>
      <c r="PQ9" s="50"/>
      <c r="PR9" s="50"/>
      <c r="PS9" s="50"/>
      <c r="PT9" s="50"/>
      <c r="PU9" s="50"/>
      <c r="PV9" s="50"/>
      <c r="PW9" s="50"/>
      <c r="PX9" s="50"/>
      <c r="PY9" s="50"/>
      <c r="PZ9" s="50"/>
      <c r="QA9" s="50"/>
      <c r="QB9" s="50"/>
      <c r="QC9" s="50"/>
      <c r="QD9" s="50"/>
      <c r="QE9" s="50"/>
      <c r="QF9" s="50"/>
      <c r="QG9" s="50"/>
      <c r="QH9" s="50"/>
      <c r="QI9" s="50"/>
      <c r="QJ9" s="50"/>
      <c r="QK9" s="50"/>
      <c r="QL9" s="50"/>
      <c r="QM9" s="50"/>
      <c r="QN9" s="50"/>
      <c r="QO9" s="50"/>
      <c r="QP9" s="50"/>
      <c r="QQ9" s="50"/>
      <c r="QR9" s="50"/>
      <c r="QS9" s="50"/>
      <c r="QT9" s="50"/>
      <c r="QU9" s="50"/>
      <c r="QV9" s="50"/>
      <c r="QW9" s="50"/>
      <c r="QX9" s="50"/>
      <c r="QY9" s="50"/>
      <c r="QZ9" s="50"/>
      <c r="RA9" s="50"/>
      <c r="RB9" s="50"/>
      <c r="RC9" s="50"/>
      <c r="RD9" s="50"/>
      <c r="RE9" s="50"/>
      <c r="RF9" s="50"/>
      <c r="RG9" s="50"/>
      <c r="RH9" s="50"/>
      <c r="RI9" s="50"/>
      <c r="RJ9" s="50"/>
      <c r="RK9" s="50"/>
      <c r="RL9" s="50"/>
      <c r="RM9" s="50"/>
      <c r="RN9" s="50"/>
      <c r="RO9" s="50"/>
      <c r="RP9" s="50"/>
      <c r="RQ9" s="50"/>
      <c r="RR9" s="50"/>
      <c r="RS9" s="50"/>
      <c r="RT9" s="50"/>
      <c r="RU9" s="50"/>
      <c r="RV9" s="50"/>
      <c r="RW9" s="50"/>
      <c r="RX9" s="50"/>
      <c r="RY9" s="50"/>
      <c r="RZ9" s="50"/>
      <c r="SA9" s="50"/>
      <c r="SB9" s="50"/>
      <c r="SC9" s="50"/>
      <c r="SD9" s="50"/>
      <c r="SE9" s="50"/>
      <c r="SF9" s="50"/>
      <c r="SG9" s="50"/>
      <c r="SH9" s="50"/>
      <c r="SI9" s="50"/>
      <c r="SJ9" s="50"/>
      <c r="SK9" s="50"/>
      <c r="SL9" s="50"/>
      <c r="SM9" s="50"/>
      <c r="SN9" s="50"/>
      <c r="SO9" s="50"/>
      <c r="SP9" s="50"/>
      <c r="SQ9" s="50"/>
      <c r="SR9" s="50"/>
      <c r="SS9" s="50"/>
      <c r="ST9" s="50"/>
      <c r="SU9" s="50"/>
      <c r="SV9" s="50"/>
      <c r="SW9" s="50"/>
      <c r="SX9" s="50"/>
      <c r="SY9" s="50"/>
      <c r="SZ9" s="50"/>
      <c r="TA9" s="50"/>
      <c r="TB9" s="50"/>
      <c r="TC9" s="50"/>
      <c r="TD9" s="50"/>
      <c r="TE9" s="50"/>
      <c r="TF9" s="50"/>
      <c r="TG9" s="50"/>
      <c r="TH9" s="50"/>
      <c r="TI9" s="50"/>
      <c r="TJ9" s="50"/>
      <c r="TK9" s="50"/>
      <c r="TL9" s="50"/>
      <c r="TM9" s="50"/>
      <c r="TN9" s="50"/>
      <c r="TO9" s="50"/>
      <c r="TP9" s="50"/>
      <c r="TQ9" s="50"/>
      <c r="TR9" s="50"/>
      <c r="TS9" s="50"/>
      <c r="TT9" s="50"/>
      <c r="TU9" s="50"/>
      <c r="TV9" s="50"/>
      <c r="TW9" s="50"/>
      <c r="TX9" s="50"/>
      <c r="TY9" s="50"/>
      <c r="TZ9" s="50"/>
      <c r="UA9" s="50"/>
      <c r="UB9" s="50"/>
      <c r="UC9" s="50"/>
      <c r="UD9" s="50"/>
      <c r="UE9" s="50"/>
      <c r="UF9" s="50"/>
      <c r="UG9" s="50"/>
      <c r="UH9" s="50"/>
      <c r="UI9" s="50"/>
      <c r="UJ9" s="50"/>
      <c r="UK9" s="50"/>
      <c r="UL9" s="50"/>
      <c r="UM9" s="50"/>
      <c r="UN9" s="50"/>
      <c r="UO9" s="50"/>
      <c r="UP9" s="50"/>
      <c r="UQ9" s="50"/>
      <c r="UR9" s="50"/>
      <c r="US9" s="50"/>
      <c r="UT9" s="50"/>
      <c r="UU9" s="50"/>
      <c r="UV9" s="50"/>
      <c r="UW9" s="50"/>
      <c r="UX9" s="50"/>
      <c r="UY9" s="50"/>
      <c r="UZ9" s="50"/>
      <c r="VA9" s="50"/>
      <c r="VB9" s="50"/>
      <c r="VC9" s="50"/>
      <c r="VD9" s="50"/>
      <c r="VE9" s="50"/>
      <c r="VF9" s="50"/>
      <c r="VG9" s="50"/>
      <c r="VH9" s="50"/>
      <c r="VI9" s="50"/>
      <c r="VJ9" s="50"/>
      <c r="VK9" s="50"/>
      <c r="VL9" s="50"/>
      <c r="VM9" s="50"/>
      <c r="VN9" s="50"/>
      <c r="VO9" s="50"/>
      <c r="VP9" s="50"/>
      <c r="VQ9" s="50"/>
      <c r="VR9" s="50"/>
      <c r="VS9" s="50"/>
      <c r="VT9" s="50"/>
      <c r="VU9" s="50"/>
      <c r="VV9" s="50"/>
      <c r="VW9" s="50"/>
      <c r="VX9" s="50"/>
      <c r="VY9" s="50"/>
      <c r="VZ9" s="50"/>
      <c r="WA9" s="50"/>
      <c r="WB9" s="50"/>
      <c r="WC9" s="50"/>
      <c r="WD9" s="50"/>
      <c r="WE9" s="50"/>
      <c r="WF9" s="50"/>
      <c r="WG9" s="50"/>
      <c r="WH9" s="50"/>
      <c r="WI9" s="50"/>
      <c r="WJ9" s="50"/>
      <c r="WK9" s="50"/>
      <c r="WL9" s="50"/>
      <c r="WM9" s="50"/>
      <c r="WN9" s="50"/>
      <c r="WO9" s="50"/>
      <c r="WP9" s="50"/>
      <c r="WQ9" s="50"/>
      <c r="WR9" s="50"/>
      <c r="WS9" s="50"/>
      <c r="WT9" s="50"/>
      <c r="WU9" s="50"/>
      <c r="WV9" s="50"/>
      <c r="WW9" s="50"/>
      <c r="WX9" s="50"/>
      <c r="WY9" s="50"/>
      <c r="WZ9" s="50"/>
      <c r="XA9" s="50"/>
      <c r="XB9" s="50"/>
      <c r="XC9" s="50"/>
      <c r="XD9" s="50"/>
      <c r="XE9" s="50"/>
      <c r="XF9" s="50"/>
      <c r="XG9" s="50"/>
      <c r="XH9" s="50"/>
      <c r="XI9" s="50"/>
      <c r="XJ9" s="50"/>
      <c r="XK9" s="50"/>
      <c r="XL9" s="50"/>
      <c r="XM9" s="50"/>
      <c r="XN9" s="50"/>
      <c r="XO9" s="50"/>
      <c r="XP9" s="50"/>
      <c r="XQ9" s="50"/>
      <c r="XR9" s="50"/>
      <c r="XS9" s="50"/>
      <c r="XT9" s="50"/>
      <c r="XU9" s="50"/>
      <c r="XV9" s="50"/>
      <c r="XW9" s="50"/>
      <c r="XX9" s="50"/>
      <c r="XY9" s="50"/>
      <c r="XZ9" s="50"/>
      <c r="YA9" s="50"/>
      <c r="YB9" s="50"/>
      <c r="YC9" s="50"/>
      <c r="YD9" s="50"/>
      <c r="YE9" s="50"/>
      <c r="YF9" s="50"/>
      <c r="YG9" s="50"/>
      <c r="YH9" s="50"/>
      <c r="YI9" s="50"/>
      <c r="YJ9" s="50"/>
      <c r="YK9" s="50"/>
      <c r="YL9" s="50"/>
      <c r="YM9" s="50"/>
      <c r="YN9" s="50"/>
      <c r="YO9" s="50"/>
      <c r="YP9" s="50"/>
      <c r="YQ9" s="50"/>
      <c r="YR9" s="50"/>
      <c r="YS9" s="50"/>
      <c r="YT9" s="50"/>
      <c r="YU9" s="50"/>
      <c r="YV9" s="50"/>
      <c r="YW9" s="50"/>
      <c r="YX9" s="50"/>
      <c r="YY9" s="50"/>
      <c r="YZ9" s="50"/>
      <c r="ZA9" s="50"/>
      <c r="ZB9" s="50"/>
      <c r="ZC9" s="50"/>
      <c r="ZD9" s="50"/>
      <c r="ZE9" s="50"/>
      <c r="ZF9" s="50"/>
      <c r="ZG9" s="50"/>
      <c r="ZH9" s="50"/>
      <c r="ZI9" s="50"/>
      <c r="ZJ9" s="50"/>
      <c r="ZK9" s="50"/>
      <c r="ZL9" s="50"/>
      <c r="ZM9" s="50"/>
      <c r="ZN9" s="50"/>
      <c r="ZO9" s="50"/>
      <c r="ZP9" s="50"/>
      <c r="ZQ9" s="50"/>
      <c r="ZR9" s="50"/>
      <c r="ZS9" s="50"/>
      <c r="ZT9" s="50"/>
      <c r="ZU9" s="50"/>
      <c r="ZV9" s="50"/>
      <c r="ZW9" s="50"/>
      <c r="ZX9" s="50"/>
      <c r="ZY9" s="50"/>
      <c r="ZZ9" s="50"/>
      <c r="AAA9" s="50"/>
      <c r="AAB9" s="50"/>
      <c r="AAC9" s="50"/>
      <c r="AAD9" s="50"/>
      <c r="AAE9" s="50"/>
      <c r="AAF9" s="50"/>
      <c r="AAG9" s="50"/>
      <c r="AAH9" s="50"/>
      <c r="AAI9" s="50"/>
      <c r="AAJ9" s="50"/>
      <c r="AAK9" s="50"/>
      <c r="AAL9" s="50"/>
      <c r="AAM9" s="50"/>
      <c r="AAN9" s="50"/>
      <c r="AAO9" s="50"/>
      <c r="AAP9" s="50"/>
      <c r="AAQ9" s="50"/>
      <c r="AAR9" s="50"/>
      <c r="AAS9" s="50"/>
      <c r="AAT9" s="50"/>
      <c r="AAU9" s="50"/>
      <c r="AAV9" s="50"/>
      <c r="AAW9" s="50"/>
      <c r="AAX9" s="50"/>
      <c r="AAY9" s="50"/>
      <c r="AAZ9" s="50"/>
      <c r="ABA9" s="50"/>
      <c r="ABB9" s="50"/>
      <c r="ABC9" s="50"/>
      <c r="ABD9" s="50"/>
      <c r="ABE9" s="50"/>
      <c r="ABF9" s="50"/>
      <c r="ABG9" s="50"/>
      <c r="ABH9" s="50"/>
      <c r="ABI9" s="50"/>
      <c r="ABJ9" s="50"/>
      <c r="ABK9" s="50"/>
      <c r="ABL9" s="50"/>
      <c r="ABM9" s="50"/>
      <c r="ABN9" s="50"/>
      <c r="ABO9" s="50"/>
      <c r="ABP9" s="50"/>
      <c r="ABQ9" s="50"/>
      <c r="ABR9" s="50"/>
      <c r="ABS9" s="50"/>
      <c r="ABT9" s="50"/>
      <c r="ABU9" s="50"/>
      <c r="ABV9" s="50"/>
      <c r="ABW9" s="50"/>
      <c r="ABX9" s="50"/>
      <c r="ABY9" s="50"/>
      <c r="ABZ9" s="50"/>
      <c r="ACA9" s="50"/>
      <c r="ACB9" s="50"/>
      <c r="ACC9" s="50"/>
      <c r="ACD9" s="50"/>
      <c r="ACE9" s="50"/>
      <c r="ACF9" s="50"/>
      <c r="ACG9" s="50"/>
      <c r="ACH9" s="50"/>
      <c r="ACI9" s="50"/>
      <c r="ACJ9" s="50"/>
      <c r="ACK9" s="50"/>
      <c r="ACL9" s="50"/>
      <c r="ACM9" s="50"/>
      <c r="ACN9" s="50"/>
      <c r="ACO9" s="50"/>
      <c r="ACP9" s="50"/>
      <c r="ACQ9" s="50"/>
      <c r="ACR9" s="50"/>
      <c r="ACS9" s="50"/>
      <c r="ACT9" s="50"/>
      <c r="ACU9" s="50"/>
      <c r="ACV9" s="50"/>
      <c r="ACW9" s="50"/>
      <c r="ACX9" s="50"/>
      <c r="ACY9" s="50"/>
      <c r="ACZ9" s="50"/>
      <c r="ADA9" s="50"/>
      <c r="ADB9" s="50"/>
      <c r="ADC9" s="50"/>
      <c r="ADD9" s="50"/>
      <c r="ADE9" s="50"/>
      <c r="ADF9" s="50"/>
      <c r="ADG9" s="50"/>
      <c r="ADH9" s="50"/>
      <c r="ADI9" s="50"/>
      <c r="ADJ9" s="50"/>
      <c r="ADK9" s="50"/>
      <c r="ADL9" s="50"/>
      <c r="ADM9" s="50"/>
      <c r="ADN9" s="50"/>
      <c r="ADO9" s="50"/>
      <c r="ADP9" s="50"/>
      <c r="ADQ9" s="50"/>
      <c r="ADR9" s="50"/>
      <c r="ADS9" s="50"/>
      <c r="ADT9" s="50"/>
      <c r="ADU9" s="50"/>
      <c r="ADV9" s="50"/>
      <c r="ADW9" s="50"/>
      <c r="ADX9" s="50"/>
      <c r="ADY9" s="50"/>
      <c r="ADZ9" s="50"/>
      <c r="AEA9" s="50"/>
      <c r="AEB9" s="50"/>
      <c r="AEC9" s="50"/>
      <c r="AED9" s="50"/>
      <c r="AEE9" s="50"/>
      <c r="AEF9" s="50"/>
      <c r="AEG9" s="50"/>
      <c r="AEH9" s="50"/>
      <c r="AEI9" s="50"/>
      <c r="AEJ9" s="50"/>
      <c r="AEK9" s="50"/>
      <c r="AEL9" s="50"/>
      <c r="AEM9" s="50"/>
      <c r="AEN9" s="50"/>
      <c r="AEO9" s="50"/>
      <c r="AEP9" s="50"/>
      <c r="AEQ9" s="50"/>
      <c r="AER9" s="50"/>
      <c r="AES9" s="50"/>
      <c r="AET9" s="50"/>
      <c r="AEU9" s="50"/>
      <c r="AEV9" s="50"/>
      <c r="AEW9" s="50"/>
      <c r="AEX9" s="50"/>
      <c r="AEY9" s="50"/>
      <c r="AEZ9" s="50"/>
      <c r="AFA9" s="50"/>
      <c r="AFB9" s="50"/>
      <c r="AFC9" s="50"/>
      <c r="AFD9" s="50"/>
      <c r="AFE9" s="50"/>
      <c r="AFF9" s="50"/>
      <c r="AFG9" s="50"/>
      <c r="AFH9" s="50"/>
      <c r="AFI9" s="50"/>
      <c r="AFJ9" s="50"/>
      <c r="AFK9" s="50"/>
      <c r="AFL9" s="50"/>
      <c r="AFM9" s="50"/>
      <c r="AFN9" s="50"/>
      <c r="AFO9" s="50"/>
      <c r="AFP9" s="50"/>
      <c r="AFQ9" s="50"/>
      <c r="AFR9" s="50"/>
      <c r="AFS9" s="50"/>
      <c r="AFT9" s="50"/>
      <c r="AFU9" s="50"/>
      <c r="AFV9" s="50"/>
      <c r="AFW9" s="50"/>
      <c r="AFX9" s="50"/>
      <c r="AFY9" s="50"/>
      <c r="AFZ9" s="50"/>
      <c r="AGA9" s="50"/>
      <c r="AGB9" s="50"/>
      <c r="AGC9" s="50"/>
      <c r="AGD9" s="50"/>
      <c r="AGE9" s="50"/>
      <c r="AGF9" s="50"/>
      <c r="AGG9" s="50"/>
      <c r="AGH9" s="50"/>
      <c r="AGI9" s="50"/>
      <c r="AGJ9" s="50"/>
      <c r="AGK9" s="50"/>
      <c r="AGL9" s="50"/>
      <c r="AGM9" s="50"/>
      <c r="AGN9" s="50"/>
      <c r="AGO9" s="50"/>
      <c r="AGP9" s="50"/>
      <c r="AGQ9" s="50"/>
      <c r="AGR9" s="50"/>
      <c r="AGS9" s="50"/>
      <c r="AGT9" s="50"/>
      <c r="AGU9" s="50"/>
      <c r="AGV9" s="50"/>
      <c r="AGW9" s="50"/>
      <c r="AGX9" s="50"/>
      <c r="AGY9" s="50"/>
      <c r="AGZ9" s="50"/>
      <c r="AHA9" s="50"/>
      <c r="AHB9" s="50"/>
      <c r="AHC9" s="50"/>
      <c r="AHD9" s="50"/>
      <c r="AHE9" s="50"/>
      <c r="AHF9" s="50"/>
      <c r="AHG9" s="50"/>
      <c r="AHH9" s="50"/>
      <c r="AHI9" s="50"/>
      <c r="AHJ9" s="50"/>
      <c r="AHK9" s="50"/>
      <c r="AHL9" s="50"/>
      <c r="AHM9" s="50"/>
      <c r="AHN9" s="50"/>
      <c r="AHO9" s="50"/>
      <c r="AHP9" s="50"/>
      <c r="AHQ9" s="50"/>
      <c r="AHR9" s="50"/>
      <c r="AHS9" s="50"/>
      <c r="AHT9" s="50"/>
      <c r="AHU9" s="50"/>
      <c r="AHV9" s="50"/>
      <c r="AHW9" s="50"/>
      <c r="AHX9" s="50"/>
      <c r="AHY9" s="50"/>
      <c r="AHZ9" s="50"/>
      <c r="AIA9" s="50"/>
      <c r="AIB9" s="50"/>
      <c r="AIC9" s="50"/>
      <c r="AID9" s="50"/>
      <c r="AIE9" s="50"/>
      <c r="AIF9" s="50"/>
      <c r="AIG9" s="50"/>
      <c r="AIH9" s="50"/>
      <c r="AII9" s="50"/>
      <c r="AIJ9" s="50"/>
      <c r="AIK9" s="50"/>
      <c r="AIL9" s="50"/>
      <c r="AIM9" s="50"/>
      <c r="AIN9" s="50"/>
      <c r="AIO9" s="50"/>
      <c r="AIP9" s="50"/>
      <c r="AIQ9" s="50"/>
      <c r="AIR9" s="50"/>
      <c r="AIS9" s="50"/>
      <c r="AIT9" s="50"/>
      <c r="AIU9" s="50"/>
      <c r="AIV9" s="50"/>
      <c r="AIW9" s="50"/>
      <c r="AIX9" s="50"/>
      <c r="AIY9" s="50"/>
      <c r="AIZ9" s="50"/>
      <c r="AJA9" s="50"/>
      <c r="AJB9" s="50"/>
      <c r="AJC9" s="50"/>
      <c r="AJD9" s="50"/>
      <c r="AJE9" s="50"/>
      <c r="AJF9" s="50"/>
      <c r="AJG9" s="50"/>
      <c r="AJH9" s="50"/>
      <c r="AJI9" s="50"/>
      <c r="AJJ9" s="50"/>
      <c r="AJK9" s="50"/>
      <c r="AJL9" s="50"/>
      <c r="AJM9" s="50"/>
      <c r="AJN9" s="50"/>
      <c r="AJO9" s="50"/>
      <c r="AJP9" s="50"/>
      <c r="AJQ9" s="50"/>
      <c r="AJR9" s="50"/>
      <c r="AJS9" s="50"/>
      <c r="AJT9" s="50"/>
      <c r="AJU9" s="50"/>
      <c r="AJV9" s="50"/>
      <c r="AJW9" s="50"/>
      <c r="AJX9" s="50"/>
      <c r="AJY9" s="50"/>
      <c r="AJZ9" s="50"/>
      <c r="AKA9" s="50"/>
      <c r="AKB9" s="50"/>
      <c r="AKC9" s="50"/>
      <c r="AKD9" s="50"/>
      <c r="AKE9" s="50"/>
      <c r="AKF9" s="50"/>
      <c r="AKG9" s="50"/>
      <c r="AKH9" s="50"/>
      <c r="AKI9" s="50"/>
      <c r="AKJ9" s="50"/>
      <c r="AKK9" s="50"/>
      <c r="AKL9" s="50"/>
      <c r="AKM9" s="50"/>
      <c r="AKN9" s="50"/>
      <c r="AKO9" s="50"/>
      <c r="AKP9" s="50"/>
      <c r="AKQ9" s="50"/>
      <c r="AKR9" s="50"/>
      <c r="AKS9" s="50"/>
      <c r="AKT9" s="50"/>
      <c r="AKU9" s="50"/>
      <c r="AKV9" s="50"/>
      <c r="AKW9" s="50"/>
      <c r="AKX9" s="50"/>
      <c r="AKY9" s="50"/>
      <c r="AKZ9" s="50"/>
      <c r="ALA9" s="50"/>
      <c r="ALB9" s="50"/>
      <c r="ALC9" s="50"/>
      <c r="ALD9" s="50"/>
      <c r="ALE9" s="50"/>
      <c r="ALF9" s="50"/>
      <c r="ALG9" s="50"/>
      <c r="ALH9" s="50"/>
      <c r="ALI9" s="50"/>
      <c r="ALJ9" s="50"/>
      <c r="ALK9" s="50"/>
      <c r="ALL9" s="50"/>
      <c r="ALM9" s="50"/>
      <c r="ALN9" s="50"/>
      <c r="ALO9" s="50"/>
      <c r="ALP9" s="50"/>
      <c r="ALQ9" s="50"/>
      <c r="ALR9" s="50"/>
      <c r="ALS9" s="50"/>
      <c r="ALT9" s="50"/>
      <c r="ALU9" s="50"/>
      <c r="ALV9" s="50"/>
      <c r="ALW9" s="50"/>
      <c r="ALX9" s="50"/>
      <c r="ALY9" s="50"/>
      <c r="ALZ9" s="50"/>
      <c r="AMA9" s="50"/>
      <c r="AMB9" s="50"/>
      <c r="AMC9" s="50"/>
      <c r="AMD9" s="50"/>
      <c r="AME9" s="50"/>
      <c r="AMF9" s="50"/>
      <c r="AMG9" s="50"/>
      <c r="AMH9" s="50"/>
      <c r="AMI9" s="50"/>
      <c r="AMJ9" s="50"/>
    </row>
    <row r="10" spans="1:1024" s="43" customFormat="1" ht="15">
      <c r="A10" s="306" t="s">
        <v>298</v>
      </c>
      <c r="B10" s="307"/>
      <c r="C10" s="307"/>
      <c r="D10" s="307"/>
      <c r="E10" s="307"/>
      <c r="F10" s="307"/>
      <c r="G10" s="308"/>
      <c r="H10" s="44" t="s">
        <v>0</v>
      </c>
      <c r="I10" s="89">
        <v>0.2223</v>
      </c>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0"/>
      <c r="OE10" s="50"/>
      <c r="OF10" s="50"/>
      <c r="OG10" s="50"/>
      <c r="OH10" s="50"/>
      <c r="OI10" s="50"/>
      <c r="OJ10" s="50"/>
      <c r="OK10" s="50"/>
      <c r="OL10" s="50"/>
      <c r="OM10" s="50"/>
      <c r="ON10" s="50"/>
      <c r="OO10" s="50"/>
      <c r="OP10" s="50"/>
      <c r="OQ10" s="50"/>
      <c r="OR10" s="50"/>
      <c r="OS10" s="50"/>
      <c r="OT10" s="50"/>
      <c r="OU10" s="50"/>
      <c r="OV10" s="50"/>
      <c r="OW10" s="50"/>
      <c r="OX10" s="50"/>
      <c r="OY10" s="50"/>
      <c r="OZ10" s="50"/>
      <c r="PA10" s="50"/>
      <c r="PB10" s="50"/>
      <c r="PC10" s="50"/>
      <c r="PD10" s="50"/>
      <c r="PE10" s="50"/>
      <c r="PF10" s="50"/>
      <c r="PG10" s="50"/>
      <c r="PH10" s="50"/>
      <c r="PI10" s="50"/>
      <c r="PJ10" s="50"/>
      <c r="PK10" s="50"/>
      <c r="PL10" s="50"/>
      <c r="PM10" s="50"/>
      <c r="PN10" s="50"/>
      <c r="PO10" s="50"/>
      <c r="PP10" s="50"/>
      <c r="PQ10" s="50"/>
      <c r="PR10" s="50"/>
      <c r="PS10" s="50"/>
      <c r="PT10" s="50"/>
      <c r="PU10" s="50"/>
      <c r="PV10" s="50"/>
      <c r="PW10" s="50"/>
      <c r="PX10" s="50"/>
      <c r="PY10" s="50"/>
      <c r="PZ10" s="50"/>
      <c r="QA10" s="50"/>
      <c r="QB10" s="50"/>
      <c r="QC10" s="50"/>
      <c r="QD10" s="50"/>
      <c r="QE10" s="50"/>
      <c r="QF10" s="50"/>
      <c r="QG10" s="50"/>
      <c r="QH10" s="50"/>
      <c r="QI10" s="50"/>
      <c r="QJ10" s="50"/>
      <c r="QK10" s="50"/>
      <c r="QL10" s="50"/>
      <c r="QM10" s="50"/>
      <c r="QN10" s="50"/>
      <c r="QO10" s="50"/>
      <c r="QP10" s="50"/>
      <c r="QQ10" s="50"/>
      <c r="QR10" s="50"/>
      <c r="QS10" s="50"/>
      <c r="QT10" s="50"/>
      <c r="QU10" s="50"/>
      <c r="QV10" s="50"/>
      <c r="QW10" s="50"/>
      <c r="QX10" s="50"/>
      <c r="QY10" s="50"/>
      <c r="QZ10" s="50"/>
      <c r="RA10" s="50"/>
      <c r="RB10" s="50"/>
      <c r="RC10" s="50"/>
      <c r="RD10" s="50"/>
      <c r="RE10" s="50"/>
      <c r="RF10" s="50"/>
      <c r="RG10" s="50"/>
      <c r="RH10" s="50"/>
      <c r="RI10" s="50"/>
      <c r="RJ10" s="50"/>
      <c r="RK10" s="50"/>
      <c r="RL10" s="50"/>
      <c r="RM10" s="50"/>
      <c r="RN10" s="50"/>
      <c r="RO10" s="50"/>
      <c r="RP10" s="50"/>
      <c r="RQ10" s="50"/>
      <c r="RR10" s="50"/>
      <c r="RS10" s="50"/>
      <c r="RT10" s="50"/>
      <c r="RU10" s="50"/>
      <c r="RV10" s="50"/>
      <c r="RW10" s="50"/>
      <c r="RX10" s="50"/>
      <c r="RY10" s="50"/>
      <c r="RZ10" s="50"/>
      <c r="SA10" s="50"/>
      <c r="SB10" s="50"/>
      <c r="SC10" s="50"/>
      <c r="SD10" s="50"/>
      <c r="SE10" s="50"/>
      <c r="SF10" s="50"/>
      <c r="SG10" s="50"/>
      <c r="SH10" s="50"/>
      <c r="SI10" s="50"/>
      <c r="SJ10" s="50"/>
      <c r="SK10" s="50"/>
      <c r="SL10" s="50"/>
      <c r="SM10" s="50"/>
      <c r="SN10" s="50"/>
      <c r="SO10" s="50"/>
      <c r="SP10" s="50"/>
      <c r="SQ10" s="50"/>
      <c r="SR10" s="50"/>
      <c r="SS10" s="50"/>
      <c r="ST10" s="50"/>
      <c r="SU10" s="50"/>
      <c r="SV10" s="50"/>
      <c r="SW10" s="50"/>
      <c r="SX10" s="50"/>
      <c r="SY10" s="50"/>
      <c r="SZ10" s="50"/>
      <c r="TA10" s="50"/>
      <c r="TB10" s="50"/>
      <c r="TC10" s="50"/>
      <c r="TD10" s="50"/>
      <c r="TE10" s="50"/>
      <c r="TF10" s="50"/>
      <c r="TG10" s="50"/>
      <c r="TH10" s="50"/>
      <c r="TI10" s="50"/>
      <c r="TJ10" s="50"/>
      <c r="TK10" s="50"/>
      <c r="TL10" s="50"/>
      <c r="TM10" s="50"/>
      <c r="TN10" s="50"/>
      <c r="TO10" s="50"/>
      <c r="TP10" s="50"/>
      <c r="TQ10" s="50"/>
      <c r="TR10" s="50"/>
      <c r="TS10" s="50"/>
      <c r="TT10" s="50"/>
      <c r="TU10" s="50"/>
      <c r="TV10" s="50"/>
      <c r="TW10" s="50"/>
      <c r="TX10" s="50"/>
      <c r="TY10" s="50"/>
      <c r="TZ10" s="50"/>
      <c r="UA10" s="50"/>
      <c r="UB10" s="50"/>
      <c r="UC10" s="50"/>
      <c r="UD10" s="50"/>
      <c r="UE10" s="50"/>
      <c r="UF10" s="50"/>
      <c r="UG10" s="50"/>
      <c r="UH10" s="50"/>
      <c r="UI10" s="50"/>
      <c r="UJ10" s="50"/>
      <c r="UK10" s="50"/>
      <c r="UL10" s="50"/>
      <c r="UM10" s="50"/>
      <c r="UN10" s="50"/>
      <c r="UO10" s="50"/>
      <c r="UP10" s="50"/>
      <c r="UQ10" s="50"/>
      <c r="UR10" s="50"/>
      <c r="US10" s="50"/>
      <c r="UT10" s="50"/>
      <c r="UU10" s="50"/>
      <c r="UV10" s="50"/>
      <c r="UW10" s="50"/>
      <c r="UX10" s="50"/>
      <c r="UY10" s="50"/>
      <c r="UZ10" s="50"/>
      <c r="VA10" s="50"/>
      <c r="VB10" s="50"/>
      <c r="VC10" s="50"/>
      <c r="VD10" s="50"/>
      <c r="VE10" s="50"/>
      <c r="VF10" s="50"/>
      <c r="VG10" s="50"/>
      <c r="VH10" s="50"/>
      <c r="VI10" s="50"/>
      <c r="VJ10" s="50"/>
      <c r="VK10" s="50"/>
      <c r="VL10" s="50"/>
      <c r="VM10" s="50"/>
      <c r="VN10" s="50"/>
      <c r="VO10" s="50"/>
      <c r="VP10" s="50"/>
      <c r="VQ10" s="50"/>
      <c r="VR10" s="50"/>
      <c r="VS10" s="50"/>
      <c r="VT10" s="50"/>
      <c r="VU10" s="50"/>
      <c r="VV10" s="50"/>
      <c r="VW10" s="50"/>
      <c r="VX10" s="50"/>
      <c r="VY10" s="50"/>
      <c r="VZ10" s="50"/>
      <c r="WA10" s="50"/>
      <c r="WB10" s="50"/>
      <c r="WC10" s="50"/>
      <c r="WD10" s="50"/>
      <c r="WE10" s="50"/>
      <c r="WF10" s="50"/>
      <c r="WG10" s="50"/>
      <c r="WH10" s="50"/>
      <c r="WI10" s="50"/>
      <c r="WJ10" s="50"/>
      <c r="WK10" s="50"/>
      <c r="WL10" s="50"/>
      <c r="WM10" s="50"/>
      <c r="WN10" s="50"/>
      <c r="WO10" s="50"/>
      <c r="WP10" s="50"/>
      <c r="WQ10" s="50"/>
      <c r="WR10" s="50"/>
      <c r="WS10" s="50"/>
      <c r="WT10" s="50"/>
      <c r="WU10" s="50"/>
      <c r="WV10" s="50"/>
      <c r="WW10" s="50"/>
      <c r="WX10" s="50"/>
      <c r="WY10" s="50"/>
      <c r="WZ10" s="50"/>
      <c r="XA10" s="50"/>
      <c r="XB10" s="50"/>
      <c r="XC10" s="50"/>
      <c r="XD10" s="50"/>
      <c r="XE10" s="50"/>
      <c r="XF10" s="50"/>
      <c r="XG10" s="50"/>
      <c r="XH10" s="50"/>
      <c r="XI10" s="50"/>
      <c r="XJ10" s="50"/>
      <c r="XK10" s="50"/>
      <c r="XL10" s="50"/>
      <c r="XM10" s="50"/>
      <c r="XN10" s="50"/>
      <c r="XO10" s="50"/>
      <c r="XP10" s="50"/>
      <c r="XQ10" s="50"/>
      <c r="XR10" s="50"/>
      <c r="XS10" s="50"/>
      <c r="XT10" s="50"/>
      <c r="XU10" s="50"/>
      <c r="XV10" s="50"/>
      <c r="XW10" s="50"/>
      <c r="XX10" s="50"/>
      <c r="XY10" s="50"/>
      <c r="XZ10" s="50"/>
      <c r="YA10" s="50"/>
      <c r="YB10" s="50"/>
      <c r="YC10" s="50"/>
      <c r="YD10" s="50"/>
      <c r="YE10" s="50"/>
      <c r="YF10" s="50"/>
      <c r="YG10" s="50"/>
      <c r="YH10" s="50"/>
      <c r="YI10" s="50"/>
      <c r="YJ10" s="50"/>
      <c r="YK10" s="50"/>
      <c r="YL10" s="50"/>
      <c r="YM10" s="50"/>
      <c r="YN10" s="50"/>
      <c r="YO10" s="50"/>
      <c r="YP10" s="50"/>
      <c r="YQ10" s="50"/>
      <c r="YR10" s="50"/>
      <c r="YS10" s="50"/>
      <c r="YT10" s="50"/>
      <c r="YU10" s="50"/>
      <c r="YV10" s="50"/>
      <c r="YW10" s="50"/>
      <c r="YX10" s="50"/>
      <c r="YY10" s="50"/>
      <c r="YZ10" s="50"/>
      <c r="ZA10" s="50"/>
      <c r="ZB10" s="50"/>
      <c r="ZC10" s="50"/>
      <c r="ZD10" s="50"/>
      <c r="ZE10" s="50"/>
      <c r="ZF10" s="50"/>
      <c r="ZG10" s="50"/>
      <c r="ZH10" s="50"/>
      <c r="ZI10" s="50"/>
      <c r="ZJ10" s="50"/>
      <c r="ZK10" s="50"/>
      <c r="ZL10" s="50"/>
      <c r="ZM10" s="50"/>
      <c r="ZN10" s="50"/>
      <c r="ZO10" s="50"/>
      <c r="ZP10" s="50"/>
      <c r="ZQ10" s="50"/>
      <c r="ZR10" s="50"/>
      <c r="ZS10" s="50"/>
      <c r="ZT10" s="50"/>
      <c r="ZU10" s="50"/>
      <c r="ZV10" s="50"/>
      <c r="ZW10" s="50"/>
      <c r="ZX10" s="50"/>
      <c r="ZY10" s="50"/>
      <c r="ZZ10" s="50"/>
      <c r="AAA10" s="50"/>
      <c r="AAB10" s="50"/>
      <c r="AAC10" s="50"/>
      <c r="AAD10" s="50"/>
      <c r="AAE10" s="50"/>
      <c r="AAF10" s="50"/>
      <c r="AAG10" s="50"/>
      <c r="AAH10" s="50"/>
      <c r="AAI10" s="50"/>
      <c r="AAJ10" s="50"/>
      <c r="AAK10" s="50"/>
      <c r="AAL10" s="50"/>
      <c r="AAM10" s="50"/>
      <c r="AAN10" s="50"/>
      <c r="AAO10" s="50"/>
      <c r="AAP10" s="50"/>
      <c r="AAQ10" s="50"/>
      <c r="AAR10" s="50"/>
      <c r="AAS10" s="50"/>
      <c r="AAT10" s="50"/>
      <c r="AAU10" s="50"/>
      <c r="AAV10" s="50"/>
      <c r="AAW10" s="50"/>
      <c r="AAX10" s="50"/>
      <c r="AAY10" s="50"/>
      <c r="AAZ10" s="50"/>
      <c r="ABA10" s="50"/>
      <c r="ABB10" s="50"/>
      <c r="ABC10" s="50"/>
      <c r="ABD10" s="50"/>
      <c r="ABE10" s="50"/>
      <c r="ABF10" s="50"/>
      <c r="ABG10" s="50"/>
      <c r="ABH10" s="50"/>
      <c r="ABI10" s="50"/>
      <c r="ABJ10" s="50"/>
      <c r="ABK10" s="50"/>
      <c r="ABL10" s="50"/>
      <c r="ABM10" s="50"/>
      <c r="ABN10" s="50"/>
      <c r="ABO10" s="50"/>
      <c r="ABP10" s="50"/>
      <c r="ABQ10" s="50"/>
      <c r="ABR10" s="50"/>
      <c r="ABS10" s="50"/>
      <c r="ABT10" s="50"/>
      <c r="ABU10" s="50"/>
      <c r="ABV10" s="50"/>
      <c r="ABW10" s="50"/>
      <c r="ABX10" s="50"/>
      <c r="ABY10" s="50"/>
      <c r="ABZ10" s="50"/>
      <c r="ACA10" s="50"/>
      <c r="ACB10" s="50"/>
      <c r="ACC10" s="50"/>
      <c r="ACD10" s="50"/>
      <c r="ACE10" s="50"/>
      <c r="ACF10" s="50"/>
      <c r="ACG10" s="50"/>
      <c r="ACH10" s="50"/>
      <c r="ACI10" s="50"/>
      <c r="ACJ10" s="50"/>
      <c r="ACK10" s="50"/>
      <c r="ACL10" s="50"/>
      <c r="ACM10" s="50"/>
      <c r="ACN10" s="50"/>
      <c r="ACO10" s="50"/>
      <c r="ACP10" s="50"/>
      <c r="ACQ10" s="50"/>
      <c r="ACR10" s="50"/>
      <c r="ACS10" s="50"/>
      <c r="ACT10" s="50"/>
      <c r="ACU10" s="50"/>
      <c r="ACV10" s="50"/>
      <c r="ACW10" s="50"/>
      <c r="ACX10" s="50"/>
      <c r="ACY10" s="50"/>
      <c r="ACZ10" s="50"/>
      <c r="ADA10" s="50"/>
      <c r="ADB10" s="50"/>
      <c r="ADC10" s="50"/>
      <c r="ADD10" s="50"/>
      <c r="ADE10" s="50"/>
      <c r="ADF10" s="50"/>
      <c r="ADG10" s="50"/>
      <c r="ADH10" s="50"/>
      <c r="ADI10" s="50"/>
      <c r="ADJ10" s="50"/>
      <c r="ADK10" s="50"/>
      <c r="ADL10" s="50"/>
      <c r="ADM10" s="50"/>
      <c r="ADN10" s="50"/>
      <c r="ADO10" s="50"/>
      <c r="ADP10" s="50"/>
      <c r="ADQ10" s="50"/>
      <c r="ADR10" s="50"/>
      <c r="ADS10" s="50"/>
      <c r="ADT10" s="50"/>
      <c r="ADU10" s="50"/>
      <c r="ADV10" s="50"/>
      <c r="ADW10" s="50"/>
      <c r="ADX10" s="50"/>
      <c r="ADY10" s="50"/>
      <c r="ADZ10" s="50"/>
      <c r="AEA10" s="50"/>
      <c r="AEB10" s="50"/>
      <c r="AEC10" s="50"/>
      <c r="AED10" s="50"/>
      <c r="AEE10" s="50"/>
      <c r="AEF10" s="50"/>
      <c r="AEG10" s="50"/>
      <c r="AEH10" s="50"/>
      <c r="AEI10" s="50"/>
      <c r="AEJ10" s="50"/>
      <c r="AEK10" s="50"/>
      <c r="AEL10" s="50"/>
      <c r="AEM10" s="50"/>
      <c r="AEN10" s="50"/>
      <c r="AEO10" s="50"/>
      <c r="AEP10" s="50"/>
      <c r="AEQ10" s="50"/>
      <c r="AER10" s="50"/>
      <c r="AES10" s="50"/>
      <c r="AET10" s="50"/>
      <c r="AEU10" s="50"/>
      <c r="AEV10" s="50"/>
      <c r="AEW10" s="50"/>
      <c r="AEX10" s="50"/>
      <c r="AEY10" s="50"/>
      <c r="AEZ10" s="50"/>
      <c r="AFA10" s="50"/>
      <c r="AFB10" s="50"/>
      <c r="AFC10" s="50"/>
      <c r="AFD10" s="50"/>
      <c r="AFE10" s="50"/>
      <c r="AFF10" s="50"/>
      <c r="AFG10" s="50"/>
      <c r="AFH10" s="50"/>
      <c r="AFI10" s="50"/>
      <c r="AFJ10" s="50"/>
      <c r="AFK10" s="50"/>
      <c r="AFL10" s="50"/>
      <c r="AFM10" s="50"/>
      <c r="AFN10" s="50"/>
      <c r="AFO10" s="50"/>
      <c r="AFP10" s="50"/>
      <c r="AFQ10" s="50"/>
      <c r="AFR10" s="50"/>
      <c r="AFS10" s="50"/>
      <c r="AFT10" s="50"/>
      <c r="AFU10" s="50"/>
      <c r="AFV10" s="50"/>
      <c r="AFW10" s="50"/>
      <c r="AFX10" s="50"/>
      <c r="AFY10" s="50"/>
      <c r="AFZ10" s="50"/>
      <c r="AGA10" s="50"/>
      <c r="AGB10" s="50"/>
      <c r="AGC10" s="50"/>
      <c r="AGD10" s="50"/>
      <c r="AGE10" s="50"/>
      <c r="AGF10" s="50"/>
      <c r="AGG10" s="50"/>
      <c r="AGH10" s="50"/>
      <c r="AGI10" s="50"/>
      <c r="AGJ10" s="50"/>
      <c r="AGK10" s="50"/>
      <c r="AGL10" s="50"/>
      <c r="AGM10" s="50"/>
      <c r="AGN10" s="50"/>
      <c r="AGO10" s="50"/>
      <c r="AGP10" s="50"/>
      <c r="AGQ10" s="50"/>
      <c r="AGR10" s="50"/>
      <c r="AGS10" s="50"/>
      <c r="AGT10" s="50"/>
      <c r="AGU10" s="50"/>
      <c r="AGV10" s="50"/>
      <c r="AGW10" s="50"/>
      <c r="AGX10" s="50"/>
      <c r="AGY10" s="50"/>
      <c r="AGZ10" s="50"/>
      <c r="AHA10" s="50"/>
      <c r="AHB10" s="50"/>
      <c r="AHC10" s="50"/>
      <c r="AHD10" s="50"/>
      <c r="AHE10" s="50"/>
      <c r="AHF10" s="50"/>
      <c r="AHG10" s="50"/>
      <c r="AHH10" s="50"/>
      <c r="AHI10" s="50"/>
      <c r="AHJ10" s="50"/>
      <c r="AHK10" s="50"/>
      <c r="AHL10" s="50"/>
      <c r="AHM10" s="50"/>
      <c r="AHN10" s="50"/>
      <c r="AHO10" s="50"/>
      <c r="AHP10" s="50"/>
      <c r="AHQ10" s="50"/>
      <c r="AHR10" s="50"/>
      <c r="AHS10" s="50"/>
      <c r="AHT10" s="50"/>
      <c r="AHU10" s="50"/>
      <c r="AHV10" s="50"/>
      <c r="AHW10" s="50"/>
      <c r="AHX10" s="50"/>
      <c r="AHY10" s="50"/>
      <c r="AHZ10" s="50"/>
      <c r="AIA10" s="50"/>
      <c r="AIB10" s="50"/>
      <c r="AIC10" s="50"/>
      <c r="AID10" s="50"/>
      <c r="AIE10" s="50"/>
      <c r="AIF10" s="50"/>
      <c r="AIG10" s="50"/>
      <c r="AIH10" s="50"/>
      <c r="AII10" s="50"/>
      <c r="AIJ10" s="50"/>
      <c r="AIK10" s="50"/>
      <c r="AIL10" s="50"/>
      <c r="AIM10" s="50"/>
      <c r="AIN10" s="50"/>
      <c r="AIO10" s="50"/>
      <c r="AIP10" s="50"/>
      <c r="AIQ10" s="50"/>
      <c r="AIR10" s="50"/>
      <c r="AIS10" s="50"/>
      <c r="AIT10" s="50"/>
      <c r="AIU10" s="50"/>
      <c r="AIV10" s="50"/>
      <c r="AIW10" s="50"/>
      <c r="AIX10" s="50"/>
      <c r="AIY10" s="50"/>
      <c r="AIZ10" s="50"/>
      <c r="AJA10" s="50"/>
      <c r="AJB10" s="50"/>
      <c r="AJC10" s="50"/>
      <c r="AJD10" s="50"/>
      <c r="AJE10" s="50"/>
      <c r="AJF10" s="50"/>
      <c r="AJG10" s="50"/>
      <c r="AJH10" s="50"/>
      <c r="AJI10" s="50"/>
      <c r="AJJ10" s="50"/>
      <c r="AJK10" s="50"/>
      <c r="AJL10" s="50"/>
      <c r="AJM10" s="50"/>
      <c r="AJN10" s="50"/>
      <c r="AJO10" s="50"/>
      <c r="AJP10" s="50"/>
      <c r="AJQ10" s="50"/>
      <c r="AJR10" s="50"/>
      <c r="AJS10" s="50"/>
      <c r="AJT10" s="50"/>
      <c r="AJU10" s="50"/>
      <c r="AJV10" s="50"/>
      <c r="AJW10" s="50"/>
      <c r="AJX10" s="50"/>
      <c r="AJY10" s="50"/>
      <c r="AJZ10" s="50"/>
      <c r="AKA10" s="50"/>
      <c r="AKB10" s="50"/>
      <c r="AKC10" s="50"/>
      <c r="AKD10" s="50"/>
      <c r="AKE10" s="50"/>
      <c r="AKF10" s="50"/>
      <c r="AKG10" s="50"/>
      <c r="AKH10" s="50"/>
      <c r="AKI10" s="50"/>
      <c r="AKJ10" s="50"/>
      <c r="AKK10" s="50"/>
      <c r="AKL10" s="50"/>
      <c r="AKM10" s="50"/>
      <c r="AKN10" s="50"/>
      <c r="AKO10" s="50"/>
      <c r="AKP10" s="50"/>
      <c r="AKQ10" s="50"/>
      <c r="AKR10" s="50"/>
      <c r="AKS10" s="50"/>
      <c r="AKT10" s="50"/>
      <c r="AKU10" s="50"/>
      <c r="AKV10" s="50"/>
      <c r="AKW10" s="50"/>
      <c r="AKX10" s="50"/>
      <c r="AKY10" s="50"/>
      <c r="AKZ10" s="50"/>
      <c r="ALA10" s="50"/>
      <c r="ALB10" s="50"/>
      <c r="ALC10" s="50"/>
      <c r="ALD10" s="50"/>
      <c r="ALE10" s="50"/>
      <c r="ALF10" s="50"/>
      <c r="ALG10" s="50"/>
      <c r="ALH10" s="50"/>
      <c r="ALI10" s="50"/>
      <c r="ALJ10" s="50"/>
      <c r="ALK10" s="50"/>
      <c r="ALL10" s="50"/>
      <c r="ALM10" s="50"/>
      <c r="ALN10" s="50"/>
      <c r="ALO10" s="50"/>
      <c r="ALP10" s="50"/>
      <c r="ALQ10" s="50"/>
      <c r="ALR10" s="50"/>
      <c r="ALS10" s="50"/>
      <c r="ALT10" s="50"/>
      <c r="ALU10" s="50"/>
      <c r="ALV10" s="50"/>
      <c r="ALW10" s="50"/>
      <c r="ALX10" s="50"/>
      <c r="ALY10" s="50"/>
      <c r="ALZ10" s="50"/>
      <c r="AMA10" s="50"/>
      <c r="AMB10" s="50"/>
      <c r="AMC10" s="50"/>
      <c r="AMD10" s="50"/>
      <c r="AME10" s="50"/>
      <c r="AMF10" s="50"/>
      <c r="AMG10" s="50"/>
      <c r="AMH10" s="50"/>
      <c r="AMI10" s="50"/>
      <c r="AMJ10" s="50"/>
    </row>
    <row r="11" spans="1:1024" s="45" customFormat="1" ht="9.75" customHeight="1">
      <c r="A11" s="51"/>
      <c r="B11" s="51"/>
      <c r="C11" s="51"/>
      <c r="D11" s="60"/>
      <c r="E11" s="51"/>
      <c r="F11" s="52"/>
      <c r="G11" s="56"/>
      <c r="H11" s="50"/>
      <c r="I11" s="53"/>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c r="ABX11" s="50"/>
      <c r="ABY11" s="50"/>
      <c r="ABZ11" s="50"/>
      <c r="ACA11" s="50"/>
      <c r="ACB11" s="50"/>
      <c r="ACC11" s="50"/>
      <c r="ACD11" s="50"/>
      <c r="ACE11" s="50"/>
      <c r="ACF11" s="50"/>
      <c r="ACG11" s="50"/>
      <c r="ACH11" s="50"/>
      <c r="ACI11" s="50"/>
      <c r="ACJ11" s="50"/>
      <c r="ACK11" s="50"/>
      <c r="ACL11" s="50"/>
      <c r="ACM11" s="50"/>
      <c r="ACN11" s="50"/>
      <c r="ACO11" s="50"/>
      <c r="ACP11" s="50"/>
      <c r="ACQ11" s="50"/>
      <c r="ACR11" s="50"/>
      <c r="ACS11" s="50"/>
      <c r="ACT11" s="50"/>
      <c r="ACU11" s="50"/>
      <c r="ACV11" s="50"/>
      <c r="ACW11" s="50"/>
      <c r="ACX11" s="50"/>
      <c r="ACY11" s="50"/>
      <c r="ACZ11" s="50"/>
      <c r="ADA11" s="50"/>
      <c r="ADB11" s="50"/>
      <c r="ADC11" s="50"/>
      <c r="ADD11" s="50"/>
      <c r="ADE11" s="50"/>
      <c r="ADF11" s="50"/>
      <c r="ADG11" s="50"/>
      <c r="ADH11" s="50"/>
      <c r="ADI11" s="50"/>
      <c r="ADJ11" s="50"/>
      <c r="ADK11" s="50"/>
      <c r="ADL11" s="50"/>
      <c r="ADM11" s="50"/>
      <c r="ADN11" s="50"/>
      <c r="ADO11" s="50"/>
      <c r="ADP11" s="50"/>
      <c r="ADQ11" s="50"/>
      <c r="ADR11" s="50"/>
      <c r="ADS11" s="50"/>
      <c r="ADT11" s="50"/>
      <c r="ADU11" s="50"/>
      <c r="ADV11" s="50"/>
      <c r="ADW11" s="50"/>
      <c r="ADX11" s="50"/>
      <c r="ADY11" s="50"/>
      <c r="ADZ11" s="50"/>
      <c r="AEA11" s="50"/>
      <c r="AEB11" s="50"/>
      <c r="AEC11" s="50"/>
      <c r="AED11" s="50"/>
      <c r="AEE11" s="50"/>
      <c r="AEF11" s="50"/>
      <c r="AEG11" s="50"/>
      <c r="AEH11" s="50"/>
      <c r="AEI11" s="50"/>
      <c r="AEJ11" s="50"/>
      <c r="AEK11" s="50"/>
      <c r="AEL11" s="50"/>
      <c r="AEM11" s="50"/>
      <c r="AEN11" s="50"/>
      <c r="AEO11" s="50"/>
      <c r="AEP11" s="50"/>
      <c r="AEQ11" s="50"/>
      <c r="AER11" s="50"/>
      <c r="AES11" s="50"/>
      <c r="AET11" s="50"/>
      <c r="AEU11" s="50"/>
      <c r="AEV11" s="50"/>
      <c r="AEW11" s="50"/>
      <c r="AEX11" s="50"/>
      <c r="AEY11" s="50"/>
      <c r="AEZ11" s="50"/>
      <c r="AFA11" s="50"/>
      <c r="AFB11" s="50"/>
      <c r="AFC11" s="50"/>
      <c r="AFD11" s="50"/>
      <c r="AFE11" s="50"/>
      <c r="AFF11" s="50"/>
      <c r="AFG11" s="50"/>
      <c r="AFH11" s="50"/>
      <c r="AFI11" s="50"/>
      <c r="AFJ11" s="50"/>
      <c r="AFK11" s="50"/>
      <c r="AFL11" s="50"/>
      <c r="AFM11" s="50"/>
      <c r="AFN11" s="50"/>
      <c r="AFO11" s="50"/>
      <c r="AFP11" s="50"/>
      <c r="AFQ11" s="50"/>
      <c r="AFR11" s="50"/>
      <c r="AFS11" s="50"/>
      <c r="AFT11" s="50"/>
      <c r="AFU11" s="50"/>
      <c r="AFV11" s="50"/>
      <c r="AFW11" s="50"/>
      <c r="AFX11" s="50"/>
      <c r="AFY11" s="50"/>
      <c r="AFZ11" s="50"/>
      <c r="AGA11" s="50"/>
      <c r="AGB11" s="50"/>
      <c r="AGC11" s="50"/>
      <c r="AGD11" s="50"/>
      <c r="AGE11" s="50"/>
      <c r="AGF11" s="50"/>
      <c r="AGG11" s="50"/>
      <c r="AGH11" s="50"/>
      <c r="AGI11" s="50"/>
      <c r="AGJ11" s="50"/>
      <c r="AGK11" s="50"/>
      <c r="AGL11" s="50"/>
      <c r="AGM11" s="50"/>
      <c r="AGN11" s="50"/>
      <c r="AGO11" s="50"/>
      <c r="AGP11" s="50"/>
      <c r="AGQ11" s="50"/>
      <c r="AGR11" s="50"/>
      <c r="AGS11" s="50"/>
      <c r="AGT11" s="50"/>
      <c r="AGU11" s="50"/>
      <c r="AGV11" s="50"/>
      <c r="AGW11" s="50"/>
      <c r="AGX11" s="50"/>
      <c r="AGY11" s="50"/>
      <c r="AGZ11" s="50"/>
      <c r="AHA11" s="50"/>
      <c r="AHB11" s="50"/>
      <c r="AHC11" s="50"/>
      <c r="AHD11" s="50"/>
      <c r="AHE11" s="50"/>
      <c r="AHF11" s="50"/>
      <c r="AHG11" s="50"/>
      <c r="AHH11" s="50"/>
      <c r="AHI11" s="50"/>
      <c r="AHJ11" s="50"/>
      <c r="AHK11" s="50"/>
      <c r="AHL11" s="50"/>
      <c r="AHM11" s="50"/>
      <c r="AHN11" s="50"/>
      <c r="AHO11" s="50"/>
      <c r="AHP11" s="50"/>
      <c r="AHQ11" s="50"/>
      <c r="AHR11" s="50"/>
      <c r="AHS11" s="50"/>
      <c r="AHT11" s="50"/>
      <c r="AHU11" s="50"/>
      <c r="AHV11" s="50"/>
      <c r="AHW11" s="50"/>
      <c r="AHX11" s="50"/>
      <c r="AHY11" s="50"/>
      <c r="AHZ11" s="50"/>
      <c r="AIA11" s="50"/>
      <c r="AIB11" s="50"/>
      <c r="AIC11" s="50"/>
      <c r="AID11" s="50"/>
      <c r="AIE11" s="50"/>
      <c r="AIF11" s="50"/>
      <c r="AIG11" s="50"/>
      <c r="AIH11" s="50"/>
      <c r="AII11" s="50"/>
      <c r="AIJ11" s="50"/>
      <c r="AIK11" s="50"/>
      <c r="AIL11" s="50"/>
      <c r="AIM11" s="50"/>
      <c r="AIN11" s="50"/>
      <c r="AIO11" s="50"/>
      <c r="AIP11" s="50"/>
      <c r="AIQ11" s="50"/>
      <c r="AIR11" s="50"/>
      <c r="AIS11" s="50"/>
      <c r="AIT11" s="50"/>
      <c r="AIU11" s="50"/>
      <c r="AIV11" s="50"/>
      <c r="AIW11" s="50"/>
      <c r="AIX11" s="50"/>
      <c r="AIY11" s="50"/>
      <c r="AIZ11" s="50"/>
      <c r="AJA11" s="50"/>
      <c r="AJB11" s="50"/>
      <c r="AJC11" s="50"/>
      <c r="AJD11" s="50"/>
      <c r="AJE11" s="50"/>
      <c r="AJF11" s="50"/>
      <c r="AJG11" s="50"/>
      <c r="AJH11" s="50"/>
      <c r="AJI11" s="50"/>
      <c r="AJJ11" s="50"/>
      <c r="AJK11" s="50"/>
      <c r="AJL11" s="50"/>
      <c r="AJM11" s="50"/>
      <c r="AJN11" s="50"/>
      <c r="AJO11" s="50"/>
      <c r="AJP11" s="50"/>
      <c r="AJQ11" s="50"/>
      <c r="AJR11" s="50"/>
      <c r="AJS11" s="50"/>
      <c r="AJT11" s="50"/>
      <c r="AJU11" s="50"/>
      <c r="AJV11" s="50"/>
      <c r="AJW11" s="50"/>
      <c r="AJX11" s="50"/>
      <c r="AJY11" s="50"/>
      <c r="AJZ11" s="50"/>
      <c r="AKA11" s="50"/>
      <c r="AKB11" s="50"/>
      <c r="AKC11" s="50"/>
      <c r="AKD11" s="50"/>
      <c r="AKE11" s="50"/>
      <c r="AKF11" s="50"/>
      <c r="AKG11" s="50"/>
      <c r="AKH11" s="50"/>
      <c r="AKI11" s="50"/>
      <c r="AKJ11" s="50"/>
      <c r="AKK11" s="50"/>
      <c r="AKL11" s="50"/>
      <c r="AKM11" s="50"/>
      <c r="AKN11" s="50"/>
      <c r="AKO11" s="50"/>
      <c r="AKP11" s="50"/>
      <c r="AKQ11" s="50"/>
      <c r="AKR11" s="50"/>
      <c r="AKS11" s="50"/>
      <c r="AKT11" s="50"/>
      <c r="AKU11" s="50"/>
      <c r="AKV11" s="50"/>
      <c r="AKW11" s="50"/>
      <c r="AKX11" s="50"/>
      <c r="AKY11" s="50"/>
      <c r="AKZ11" s="50"/>
      <c r="ALA11" s="50"/>
      <c r="ALB11" s="50"/>
      <c r="ALC11" s="50"/>
      <c r="ALD11" s="50"/>
      <c r="ALE11" s="50"/>
      <c r="ALF11" s="50"/>
      <c r="ALG11" s="50"/>
      <c r="ALH11" s="50"/>
      <c r="ALI11" s="50"/>
      <c r="ALJ11" s="50"/>
      <c r="ALK11" s="50"/>
      <c r="ALL11" s="50"/>
      <c r="ALM11" s="50"/>
      <c r="ALN11" s="50"/>
      <c r="ALO11" s="50"/>
      <c r="ALP11" s="50"/>
      <c r="ALQ11" s="50"/>
      <c r="ALR11" s="50"/>
      <c r="ALS11" s="50"/>
      <c r="ALT11" s="50"/>
      <c r="ALU11" s="50"/>
      <c r="ALV11" s="50"/>
      <c r="ALW11" s="50"/>
      <c r="ALX11" s="50"/>
      <c r="ALY11" s="50"/>
      <c r="ALZ11" s="50"/>
      <c r="AMA11" s="50"/>
      <c r="AMB11" s="50"/>
      <c r="AMC11" s="50"/>
      <c r="AMD11" s="50"/>
      <c r="AME11" s="50"/>
      <c r="AMF11" s="50"/>
      <c r="AMG11" s="50"/>
      <c r="AMH11" s="50"/>
      <c r="AMI11" s="50"/>
      <c r="AMJ11" s="50"/>
    </row>
    <row r="12" spans="1:1024" s="3" customFormat="1" ht="25.5">
      <c r="A12" s="40" t="s">
        <v>2</v>
      </c>
      <c r="B12" s="40" t="s">
        <v>3</v>
      </c>
      <c r="C12" s="40" t="s">
        <v>4</v>
      </c>
      <c r="D12" s="40" t="s">
        <v>5</v>
      </c>
      <c r="E12" s="40" t="s">
        <v>206</v>
      </c>
      <c r="F12" s="41" t="s">
        <v>205</v>
      </c>
      <c r="G12" s="42" t="s">
        <v>6</v>
      </c>
      <c r="H12" s="42" t="s">
        <v>7</v>
      </c>
      <c r="I12" s="42" t="s">
        <v>8</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row>
    <row r="13" spans="1:1024" ht="11.25" customHeight="1">
      <c r="A13" s="311"/>
      <c r="B13" s="264"/>
      <c r="C13" s="264"/>
      <c r="D13" s="264"/>
      <c r="E13" s="264"/>
      <c r="F13" s="264"/>
      <c r="G13" s="264"/>
      <c r="H13" s="264"/>
      <c r="I13" s="264"/>
      <c r="N13" s="194" t="s">
        <v>282</v>
      </c>
    </row>
    <row r="14" spans="1:1024">
      <c r="A14" s="73">
        <v>1</v>
      </c>
      <c r="B14" s="271"/>
      <c r="C14" s="272"/>
      <c r="D14" s="97" t="s">
        <v>9</v>
      </c>
      <c r="E14" s="98"/>
      <c r="F14" s="98"/>
      <c r="G14" s="98"/>
      <c r="H14" s="99"/>
      <c r="I14" s="10">
        <f>H17</f>
        <v>0</v>
      </c>
    </row>
    <row r="15" spans="1:1024" s="25" customFormat="1" ht="51">
      <c r="A15" s="74" t="s">
        <v>10</v>
      </c>
      <c r="B15" s="69" t="s">
        <v>11</v>
      </c>
      <c r="C15" s="33" t="s">
        <v>12</v>
      </c>
      <c r="D15" s="38" t="s">
        <v>112</v>
      </c>
      <c r="E15" s="69" t="s">
        <v>118</v>
      </c>
      <c r="F15" s="36">
        <f>'MEMÓRIA DE CÁLCULO'!H17</f>
        <v>1</v>
      </c>
      <c r="G15" s="75"/>
      <c r="H15" s="36">
        <f>ROUND((G15*$I$10)+G15,2)</f>
        <v>0</v>
      </c>
      <c r="I15" s="71">
        <f t="shared" ref="I15:I16" si="0">ROUND(F15*H15,2)</f>
        <v>0</v>
      </c>
    </row>
    <row r="16" spans="1:1024" s="25" customFormat="1" ht="12.75">
      <c r="A16" s="33" t="s">
        <v>102</v>
      </c>
      <c r="B16" s="156">
        <v>98458</v>
      </c>
      <c r="C16" s="172" t="s">
        <v>14</v>
      </c>
      <c r="D16" s="78" t="s">
        <v>336</v>
      </c>
      <c r="E16" s="172" t="s">
        <v>15</v>
      </c>
      <c r="F16" s="173">
        <f>'MEMÓRIA DE CÁLCULO'!H18</f>
        <v>20</v>
      </c>
      <c r="G16" s="174"/>
      <c r="H16" s="36">
        <f t="shared" ref="H16" si="1">ROUND((G16*$I$10)+G16,2)</f>
        <v>0</v>
      </c>
      <c r="I16" s="71">
        <f t="shared" si="0"/>
        <v>0</v>
      </c>
    </row>
    <row r="17" spans="1:60">
      <c r="A17" s="261" t="s">
        <v>86</v>
      </c>
      <c r="B17" s="262"/>
      <c r="C17" s="262"/>
      <c r="D17" s="262"/>
      <c r="E17" s="262"/>
      <c r="F17" s="262"/>
      <c r="G17" s="263"/>
      <c r="H17" s="257">
        <f>SUM(I15:I16)</f>
        <v>0</v>
      </c>
      <c r="I17" s="258"/>
    </row>
    <row r="18" spans="1:60">
      <c r="A18" s="73">
        <v>2</v>
      </c>
      <c r="B18" s="271"/>
      <c r="C18" s="272"/>
      <c r="D18" s="97" t="s">
        <v>93</v>
      </c>
      <c r="E18" s="98"/>
      <c r="F18" s="98"/>
      <c r="G18" s="98"/>
      <c r="H18" s="99"/>
      <c r="I18" s="10">
        <f>H38</f>
        <v>0</v>
      </c>
    </row>
    <row r="19" spans="1:60">
      <c r="A19" s="76" t="s">
        <v>16</v>
      </c>
      <c r="B19" s="259"/>
      <c r="C19" s="260"/>
      <c r="D19" s="268" t="s">
        <v>164</v>
      </c>
      <c r="E19" s="269"/>
      <c r="F19" s="269"/>
      <c r="G19" s="269"/>
      <c r="H19" s="269"/>
      <c r="I19" s="270"/>
    </row>
    <row r="20" spans="1:60" ht="25.5">
      <c r="A20" s="33" t="s">
        <v>165</v>
      </c>
      <c r="B20" s="37" t="s">
        <v>100</v>
      </c>
      <c r="C20" s="69" t="s">
        <v>12</v>
      </c>
      <c r="D20" s="24" t="s">
        <v>116</v>
      </c>
      <c r="E20" s="69" t="s">
        <v>15</v>
      </c>
      <c r="F20" s="36">
        <f>'MEMÓRIA DE CÁLCULO'!H24</f>
        <v>13.98</v>
      </c>
      <c r="G20" s="70"/>
      <c r="H20" s="36">
        <f t="shared" ref="H20:H21" si="2">ROUND((G20*$I$10)+G20,2)</f>
        <v>0</v>
      </c>
      <c r="I20" s="71">
        <f t="shared" ref="I20:I21" si="3">ROUND(F20*H20,2)</f>
        <v>0</v>
      </c>
    </row>
    <row r="21" spans="1:60" ht="25.5">
      <c r="A21" s="33" t="s">
        <v>166</v>
      </c>
      <c r="B21" s="37">
        <v>227</v>
      </c>
      <c r="C21" s="69" t="s">
        <v>26</v>
      </c>
      <c r="D21" s="24" t="s">
        <v>189</v>
      </c>
      <c r="E21" s="69" t="s">
        <v>15</v>
      </c>
      <c r="F21" s="36">
        <f>'MEMÓRIA DE CÁLCULO'!H33</f>
        <v>10.734999999999999</v>
      </c>
      <c r="G21" s="70"/>
      <c r="H21" s="36">
        <f t="shared" si="2"/>
        <v>0</v>
      </c>
      <c r="I21" s="71">
        <f t="shared" si="3"/>
        <v>0</v>
      </c>
    </row>
    <row r="22" spans="1:60">
      <c r="A22" s="76" t="s">
        <v>144</v>
      </c>
      <c r="B22" s="259"/>
      <c r="C22" s="260"/>
      <c r="D22" s="268" t="s">
        <v>167</v>
      </c>
      <c r="E22" s="269"/>
      <c r="F22" s="269"/>
      <c r="G22" s="269"/>
      <c r="H22" s="269"/>
      <c r="I22" s="270"/>
    </row>
    <row r="23" spans="1:60" ht="25.5">
      <c r="A23" s="108" t="s">
        <v>168</v>
      </c>
      <c r="B23" s="107" t="s">
        <v>192</v>
      </c>
      <c r="C23" s="69" t="s">
        <v>12</v>
      </c>
      <c r="D23" s="24" t="s">
        <v>193</v>
      </c>
      <c r="E23" s="69" t="s">
        <v>15</v>
      </c>
      <c r="F23" s="36">
        <f>'MEMÓRIA DE CÁLCULO'!H40</f>
        <v>587.27</v>
      </c>
      <c r="G23" s="70"/>
      <c r="H23" s="36">
        <f t="shared" ref="H23:H26" si="4">ROUND((G23*$I$10)+G23,2)</f>
        <v>0</v>
      </c>
      <c r="I23" s="71">
        <f t="shared" ref="I23" si="5">ROUND(F23*H23,2)</f>
        <v>0</v>
      </c>
      <c r="K23" s="106"/>
    </row>
    <row r="24" spans="1:60" ht="25.5">
      <c r="A24" s="218" t="s">
        <v>338</v>
      </c>
      <c r="B24" s="229">
        <v>100330</v>
      </c>
      <c r="C24" s="69" t="s">
        <v>14</v>
      </c>
      <c r="D24" s="24" t="s">
        <v>557</v>
      </c>
      <c r="E24" s="69" t="s">
        <v>15</v>
      </c>
      <c r="F24" s="36">
        <f>'MEMÓRIA DE CÁLCULO'!H58</f>
        <v>950.59</v>
      </c>
      <c r="G24" s="70"/>
      <c r="H24" s="36">
        <f t="shared" si="4"/>
        <v>0</v>
      </c>
      <c r="I24" s="71">
        <f t="shared" ref="I24" si="6">ROUND(F24*H24,2)</f>
        <v>0</v>
      </c>
      <c r="J24" s="166"/>
      <c r="K24" s="10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row>
    <row r="25" spans="1:60" ht="25.5">
      <c r="A25" s="218" t="s">
        <v>339</v>
      </c>
      <c r="B25" s="217" t="s">
        <v>340</v>
      </c>
      <c r="C25" s="69" t="s">
        <v>12</v>
      </c>
      <c r="D25" s="24" t="s">
        <v>341</v>
      </c>
      <c r="E25" s="69" t="s">
        <v>15</v>
      </c>
      <c r="F25" s="36">
        <f>'MEMÓRIA DE CÁLCULO'!H61</f>
        <v>268</v>
      </c>
      <c r="G25" s="70"/>
      <c r="H25" s="36">
        <f t="shared" si="4"/>
        <v>0</v>
      </c>
      <c r="I25" s="71">
        <f t="shared" ref="I25" si="7">ROUND(F25*H25,2)</f>
        <v>0</v>
      </c>
      <c r="J25" s="166"/>
      <c r="K25" s="10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row>
    <row r="26" spans="1:60">
      <c r="A26" s="218" t="s">
        <v>342</v>
      </c>
      <c r="B26" s="217" t="s">
        <v>343</v>
      </c>
      <c r="C26" s="69" t="s">
        <v>12</v>
      </c>
      <c r="D26" s="24" t="s">
        <v>344</v>
      </c>
      <c r="E26" s="69" t="s">
        <v>111</v>
      </c>
      <c r="F26" s="36">
        <f>'MEMÓRIA DE CÁLCULO'!H64</f>
        <v>77.819999999999993</v>
      </c>
      <c r="G26" s="70"/>
      <c r="H26" s="36">
        <f t="shared" si="4"/>
        <v>0</v>
      </c>
      <c r="I26" s="71">
        <f t="shared" ref="I26" si="8">ROUND(F26*H26,2)</f>
        <v>0</v>
      </c>
      <c r="J26" s="166"/>
      <c r="K26" s="10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row>
    <row r="27" spans="1:60">
      <c r="A27" s="76" t="s">
        <v>94</v>
      </c>
      <c r="B27" s="259"/>
      <c r="C27" s="260"/>
      <c r="D27" s="268" t="s">
        <v>91</v>
      </c>
      <c r="E27" s="269"/>
      <c r="F27" s="269"/>
      <c r="G27" s="269"/>
      <c r="H27" s="269"/>
      <c r="I27" s="270"/>
    </row>
    <row r="28" spans="1:60" ht="25.5">
      <c r="A28" s="37" t="s">
        <v>169</v>
      </c>
      <c r="B28" s="37" t="s">
        <v>97</v>
      </c>
      <c r="C28" s="69" t="s">
        <v>12</v>
      </c>
      <c r="D28" s="24" t="s">
        <v>113</v>
      </c>
      <c r="E28" s="69" t="s">
        <v>107</v>
      </c>
      <c r="F28" s="36">
        <f>'MEMÓRIA DE CÁLCULO'!H68</f>
        <v>19.357499999999998</v>
      </c>
      <c r="G28" s="70"/>
      <c r="H28" s="36">
        <f t="shared" ref="H28:H30" si="9">ROUND((G28*$I$10)+G28,2)</f>
        <v>0</v>
      </c>
      <c r="I28" s="71">
        <f t="shared" ref="I28:I30" si="10">ROUND(F28*H28,2)</f>
        <v>0</v>
      </c>
    </row>
    <row r="29" spans="1:60" ht="25.5">
      <c r="A29" s="224" t="s">
        <v>170</v>
      </c>
      <c r="B29" s="37" t="s">
        <v>99</v>
      </c>
      <c r="C29" s="69" t="s">
        <v>12</v>
      </c>
      <c r="D29" s="24" t="s">
        <v>115</v>
      </c>
      <c r="E29" s="69" t="s">
        <v>15</v>
      </c>
      <c r="F29" s="36">
        <f>'MEMÓRIA DE CÁLCULO'!H73</f>
        <v>1292.8150000000001</v>
      </c>
      <c r="G29" s="70"/>
      <c r="H29" s="36">
        <f t="shared" si="9"/>
        <v>0</v>
      </c>
      <c r="I29" s="71">
        <f t="shared" si="10"/>
        <v>0</v>
      </c>
    </row>
    <row r="30" spans="1:60" ht="25.5">
      <c r="A30" s="224" t="s">
        <v>171</v>
      </c>
      <c r="B30" s="37" t="s">
        <v>150</v>
      </c>
      <c r="C30" s="69" t="s">
        <v>12</v>
      </c>
      <c r="D30" s="78" t="s">
        <v>345</v>
      </c>
      <c r="E30" s="69" t="s">
        <v>111</v>
      </c>
      <c r="F30" s="36">
        <f>'MEMÓRIA DE CÁLCULO'!H108</f>
        <v>30</v>
      </c>
      <c r="G30" s="70"/>
      <c r="H30" s="36">
        <f t="shared" si="9"/>
        <v>0</v>
      </c>
      <c r="I30" s="71">
        <f t="shared" si="10"/>
        <v>0</v>
      </c>
      <c r="K30" s="106"/>
      <c r="M30" s="106"/>
    </row>
    <row r="31" spans="1:60">
      <c r="A31" s="76" t="s">
        <v>95</v>
      </c>
      <c r="B31" s="259"/>
      <c r="C31" s="260"/>
      <c r="D31" s="268" t="s">
        <v>83</v>
      </c>
      <c r="E31" s="269"/>
      <c r="F31" s="269"/>
      <c r="G31" s="269"/>
      <c r="H31" s="269"/>
      <c r="I31" s="270"/>
    </row>
    <row r="32" spans="1:60" ht="25.5">
      <c r="A32" s="182" t="s">
        <v>172</v>
      </c>
      <c r="B32" s="181" t="s">
        <v>198</v>
      </c>
      <c r="C32" s="181" t="s">
        <v>12</v>
      </c>
      <c r="D32" s="30" t="s">
        <v>199</v>
      </c>
      <c r="E32" s="69" t="s">
        <v>15</v>
      </c>
      <c r="F32" s="35">
        <f>'MEMÓRIA DE CÁLCULO'!H112</f>
        <v>169.55</v>
      </c>
      <c r="G32" s="70"/>
      <c r="H32" s="36">
        <f t="shared" ref="H32:H33" si="11">ROUND((G32*$I$10)+G32,2)</f>
        <v>0</v>
      </c>
      <c r="I32" s="71">
        <f t="shared" ref="I32:I33" si="12">ROUND(F32*H32,2)</f>
        <v>0</v>
      </c>
    </row>
    <row r="33" spans="1:1024" ht="27" customHeight="1">
      <c r="A33" s="219" t="s">
        <v>173</v>
      </c>
      <c r="B33" s="219" t="s">
        <v>98</v>
      </c>
      <c r="C33" s="225" t="s">
        <v>12</v>
      </c>
      <c r="D33" s="30" t="s">
        <v>114</v>
      </c>
      <c r="E33" s="225" t="s">
        <v>15</v>
      </c>
      <c r="F33" s="35">
        <f>'MEMÓRIA DE CÁLCULO'!H119</f>
        <v>1129.4400000000003</v>
      </c>
      <c r="G33" s="226"/>
      <c r="H33" s="183">
        <f t="shared" si="11"/>
        <v>0</v>
      </c>
      <c r="I33" s="227">
        <f t="shared" si="12"/>
        <v>0</v>
      </c>
    </row>
    <row r="34" spans="1:1024" s="25" customFormat="1" ht="12.75">
      <c r="A34" s="76" t="s">
        <v>96</v>
      </c>
      <c r="B34" s="259"/>
      <c r="C34" s="260"/>
      <c r="D34" s="268" t="s">
        <v>61</v>
      </c>
      <c r="E34" s="269"/>
      <c r="F34" s="269"/>
      <c r="G34" s="269"/>
      <c r="H34" s="269"/>
      <c r="I34" s="270"/>
    </row>
    <row r="35" spans="1:1024" s="25" customFormat="1" ht="25.5">
      <c r="A35" s="33" t="s">
        <v>178</v>
      </c>
      <c r="B35" s="37" t="s">
        <v>101</v>
      </c>
      <c r="C35" s="69" t="s">
        <v>12</v>
      </c>
      <c r="D35" s="24" t="s">
        <v>117</v>
      </c>
      <c r="E35" s="69" t="s">
        <v>15</v>
      </c>
      <c r="F35" s="36">
        <f>'MEMÓRIA DE CÁLCULO'!H156</f>
        <v>1.05</v>
      </c>
      <c r="G35" s="70"/>
      <c r="H35" s="36">
        <f t="shared" ref="H35:H37" si="13">ROUND((G35*$I$10)+G35,2)</f>
        <v>0</v>
      </c>
      <c r="I35" s="71">
        <f t="shared" ref="I35:I37" si="14">ROUND(F35*H35,2)</f>
        <v>0</v>
      </c>
    </row>
    <row r="36" spans="1:1024" s="25" customFormat="1" ht="12.75">
      <c r="A36" s="33" t="s">
        <v>179</v>
      </c>
      <c r="B36" s="37" t="s">
        <v>151</v>
      </c>
      <c r="C36" s="69" t="s">
        <v>12</v>
      </c>
      <c r="D36" s="85" t="s">
        <v>152</v>
      </c>
      <c r="E36" s="69" t="s">
        <v>118</v>
      </c>
      <c r="F36" s="36">
        <f>'MEMÓRIA DE CÁLCULO'!H159</f>
        <v>17</v>
      </c>
      <c r="G36" s="70"/>
      <c r="H36" s="36">
        <f t="shared" si="13"/>
        <v>0</v>
      </c>
      <c r="I36" s="71">
        <f t="shared" si="14"/>
        <v>0</v>
      </c>
    </row>
    <row r="37" spans="1:1024" s="25" customFormat="1" ht="25.5">
      <c r="A37" s="220" t="s">
        <v>180</v>
      </c>
      <c r="B37" s="145" t="s">
        <v>222</v>
      </c>
      <c r="C37" s="69" t="s">
        <v>12</v>
      </c>
      <c r="D37" s="24" t="s">
        <v>223</v>
      </c>
      <c r="E37" s="69" t="s">
        <v>15</v>
      </c>
      <c r="F37" s="36">
        <f>'MEMÓRIA DE CÁLCULO'!H167</f>
        <v>7.56</v>
      </c>
      <c r="G37" s="70"/>
      <c r="H37" s="36">
        <f t="shared" si="13"/>
        <v>0</v>
      </c>
      <c r="I37" s="71">
        <f t="shared" si="14"/>
        <v>0</v>
      </c>
    </row>
    <row r="38" spans="1:1024" s="28" customFormat="1">
      <c r="A38" s="261" t="s">
        <v>174</v>
      </c>
      <c r="B38" s="262"/>
      <c r="C38" s="262"/>
      <c r="D38" s="262"/>
      <c r="E38" s="262"/>
      <c r="F38" s="262"/>
      <c r="G38" s="263"/>
      <c r="H38" s="257">
        <f>SUM(I20:I21)+SUM(I23:I26)+SUM(I28:I30)+SUM(I32:I33)+SUM(I35:I37)</f>
        <v>0</v>
      </c>
      <c r="I38" s="258"/>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6"/>
      <c r="NI38" s="26"/>
      <c r="NJ38" s="26"/>
      <c r="NK38" s="26"/>
      <c r="NL38" s="26"/>
      <c r="NM38" s="26"/>
      <c r="NN38" s="26"/>
      <c r="NO38" s="26"/>
      <c r="NP38" s="26"/>
      <c r="NQ38" s="26"/>
      <c r="NR38" s="26"/>
      <c r="NS38" s="26"/>
      <c r="NT38" s="26"/>
      <c r="NU38" s="26"/>
      <c r="NV38" s="26"/>
      <c r="NW38" s="26"/>
      <c r="NX38" s="26"/>
      <c r="NY38" s="26"/>
      <c r="NZ38" s="26"/>
      <c r="OA38" s="26"/>
      <c r="OB38" s="26"/>
      <c r="OC38" s="26"/>
      <c r="OD38" s="26"/>
      <c r="OE38" s="26"/>
      <c r="OF38" s="26"/>
      <c r="OG38" s="26"/>
      <c r="OH38" s="26"/>
      <c r="OI38" s="26"/>
      <c r="OJ38" s="26"/>
      <c r="OK38" s="26"/>
      <c r="OL38" s="26"/>
      <c r="OM38" s="26"/>
      <c r="ON38" s="26"/>
      <c r="OO38" s="26"/>
      <c r="OP38" s="26"/>
      <c r="OQ38" s="26"/>
      <c r="OR38" s="26"/>
      <c r="OS38" s="26"/>
      <c r="OT38" s="26"/>
      <c r="OU38" s="26"/>
      <c r="OV38" s="26"/>
      <c r="OW38" s="26"/>
      <c r="OX38" s="26"/>
      <c r="OY38" s="26"/>
      <c r="OZ38" s="26"/>
      <c r="PA38" s="26"/>
      <c r="PB38" s="26"/>
      <c r="PC38" s="26"/>
      <c r="PD38" s="26"/>
      <c r="PE38" s="26"/>
      <c r="PF38" s="26"/>
      <c r="PG38" s="26"/>
      <c r="PH38" s="26"/>
      <c r="PI38" s="26"/>
      <c r="PJ38" s="26"/>
      <c r="PK38" s="26"/>
      <c r="PL38" s="26"/>
      <c r="PM38" s="26"/>
      <c r="PN38" s="26"/>
      <c r="PO38" s="26"/>
      <c r="PP38" s="26"/>
      <c r="PQ38" s="26"/>
      <c r="PR38" s="26"/>
      <c r="PS38" s="26"/>
      <c r="PT38" s="26"/>
      <c r="PU38" s="26"/>
      <c r="PV38" s="26"/>
      <c r="PW38" s="26"/>
      <c r="PX38" s="26"/>
      <c r="PY38" s="26"/>
      <c r="PZ38" s="26"/>
      <c r="QA38" s="26"/>
      <c r="QB38" s="26"/>
      <c r="QC38" s="26"/>
      <c r="QD38" s="26"/>
      <c r="QE38" s="26"/>
      <c r="QF38" s="26"/>
      <c r="QG38" s="26"/>
      <c r="QH38" s="26"/>
      <c r="QI38" s="26"/>
      <c r="QJ38" s="26"/>
      <c r="QK38" s="26"/>
      <c r="QL38" s="26"/>
      <c r="QM38" s="26"/>
      <c r="QN38" s="26"/>
      <c r="QO38" s="26"/>
      <c r="QP38" s="26"/>
      <c r="QQ38" s="26"/>
      <c r="QR38" s="26"/>
      <c r="QS38" s="26"/>
      <c r="QT38" s="26"/>
      <c r="QU38" s="26"/>
      <c r="QV38" s="26"/>
      <c r="QW38" s="26"/>
      <c r="QX38" s="26"/>
      <c r="QY38" s="26"/>
      <c r="QZ38" s="26"/>
      <c r="RA38" s="26"/>
      <c r="RB38" s="26"/>
      <c r="RC38" s="26"/>
      <c r="RD38" s="26"/>
      <c r="RE38" s="26"/>
      <c r="RF38" s="26"/>
      <c r="RG38" s="26"/>
      <c r="RH38" s="26"/>
      <c r="RI38" s="26"/>
      <c r="RJ38" s="26"/>
      <c r="RK38" s="26"/>
      <c r="RL38" s="26"/>
      <c r="RM38" s="26"/>
      <c r="RN38" s="26"/>
      <c r="RO38" s="26"/>
      <c r="RP38" s="26"/>
      <c r="RQ38" s="26"/>
      <c r="RR38" s="26"/>
      <c r="RS38" s="26"/>
      <c r="RT38" s="26"/>
      <c r="RU38" s="26"/>
      <c r="RV38" s="26"/>
      <c r="RW38" s="26"/>
      <c r="RX38" s="26"/>
      <c r="RY38" s="26"/>
      <c r="RZ38" s="26"/>
      <c r="SA38" s="26"/>
      <c r="SB38" s="26"/>
      <c r="SC38" s="26"/>
      <c r="SD38" s="26"/>
      <c r="SE38" s="26"/>
      <c r="SF38" s="26"/>
      <c r="SG38" s="26"/>
      <c r="SH38" s="26"/>
      <c r="SI38" s="26"/>
      <c r="SJ38" s="26"/>
      <c r="SK38" s="26"/>
      <c r="SL38" s="26"/>
      <c r="SM38" s="26"/>
      <c r="SN38" s="26"/>
      <c r="SO38" s="26"/>
      <c r="SP38" s="26"/>
      <c r="SQ38" s="26"/>
      <c r="SR38" s="26"/>
      <c r="SS38" s="26"/>
      <c r="ST38" s="26"/>
      <c r="SU38" s="26"/>
      <c r="SV38" s="26"/>
      <c r="SW38" s="26"/>
      <c r="SX38" s="26"/>
      <c r="SY38" s="26"/>
      <c r="SZ38" s="26"/>
      <c r="TA38" s="26"/>
      <c r="TB38" s="26"/>
      <c r="TC38" s="26"/>
      <c r="TD38" s="26"/>
      <c r="TE38" s="26"/>
      <c r="TF38" s="26"/>
      <c r="TG38" s="26"/>
      <c r="TH38" s="26"/>
      <c r="TI38" s="26"/>
      <c r="TJ38" s="26"/>
      <c r="TK38" s="26"/>
      <c r="TL38" s="26"/>
      <c r="TM38" s="26"/>
      <c r="TN38" s="26"/>
      <c r="TO38" s="26"/>
      <c r="TP38" s="26"/>
      <c r="TQ38" s="26"/>
      <c r="TR38" s="26"/>
      <c r="TS38" s="26"/>
      <c r="TT38" s="26"/>
      <c r="TU38" s="26"/>
      <c r="TV38" s="26"/>
      <c r="TW38" s="26"/>
      <c r="TX38" s="26"/>
      <c r="TY38" s="26"/>
      <c r="TZ38" s="26"/>
      <c r="UA38" s="26"/>
      <c r="UB38" s="26"/>
      <c r="UC38" s="26"/>
      <c r="UD38" s="26"/>
      <c r="UE38" s="26"/>
      <c r="UF38" s="26"/>
      <c r="UG38" s="26"/>
      <c r="UH38" s="26"/>
      <c r="UI38" s="26"/>
      <c r="UJ38" s="26"/>
      <c r="UK38" s="26"/>
      <c r="UL38" s="26"/>
      <c r="UM38" s="26"/>
      <c r="UN38" s="26"/>
      <c r="UO38" s="26"/>
      <c r="UP38" s="26"/>
      <c r="UQ38" s="26"/>
      <c r="UR38" s="26"/>
      <c r="US38" s="26"/>
      <c r="UT38" s="26"/>
      <c r="UU38" s="26"/>
      <c r="UV38" s="26"/>
      <c r="UW38" s="26"/>
      <c r="UX38" s="26"/>
      <c r="UY38" s="26"/>
      <c r="UZ38" s="26"/>
      <c r="VA38" s="26"/>
      <c r="VB38" s="26"/>
      <c r="VC38" s="26"/>
      <c r="VD38" s="26"/>
      <c r="VE38" s="26"/>
      <c r="VF38" s="26"/>
      <c r="VG38" s="26"/>
      <c r="VH38" s="26"/>
      <c r="VI38" s="26"/>
      <c r="VJ38" s="26"/>
      <c r="VK38" s="26"/>
      <c r="VL38" s="26"/>
      <c r="VM38" s="26"/>
      <c r="VN38" s="26"/>
      <c r="VO38" s="26"/>
      <c r="VP38" s="26"/>
      <c r="VQ38" s="26"/>
      <c r="VR38" s="26"/>
      <c r="VS38" s="26"/>
      <c r="VT38" s="26"/>
      <c r="VU38" s="26"/>
      <c r="VV38" s="26"/>
      <c r="VW38" s="26"/>
      <c r="VX38" s="26"/>
      <c r="VY38" s="26"/>
      <c r="VZ38" s="26"/>
      <c r="WA38" s="26"/>
      <c r="WB38" s="26"/>
      <c r="WC38" s="26"/>
      <c r="WD38" s="26"/>
      <c r="WE38" s="26"/>
      <c r="WF38" s="26"/>
      <c r="WG38" s="26"/>
      <c r="WH38" s="26"/>
      <c r="WI38" s="26"/>
      <c r="WJ38" s="26"/>
      <c r="WK38" s="26"/>
      <c r="WL38" s="26"/>
      <c r="WM38" s="26"/>
      <c r="WN38" s="26"/>
      <c r="WO38" s="26"/>
      <c r="WP38" s="26"/>
      <c r="WQ38" s="26"/>
      <c r="WR38" s="26"/>
      <c r="WS38" s="26"/>
      <c r="WT38" s="26"/>
      <c r="WU38" s="26"/>
      <c r="WV38" s="26"/>
      <c r="WW38" s="26"/>
      <c r="WX38" s="26"/>
      <c r="WY38" s="26"/>
      <c r="WZ38" s="26"/>
      <c r="XA38" s="26"/>
      <c r="XB38" s="26"/>
      <c r="XC38" s="26"/>
      <c r="XD38" s="26"/>
      <c r="XE38" s="26"/>
      <c r="XF38" s="26"/>
      <c r="XG38" s="26"/>
      <c r="XH38" s="26"/>
      <c r="XI38" s="26"/>
      <c r="XJ38" s="26"/>
      <c r="XK38" s="26"/>
      <c r="XL38" s="26"/>
      <c r="XM38" s="26"/>
      <c r="XN38" s="26"/>
      <c r="XO38" s="26"/>
      <c r="XP38" s="26"/>
      <c r="XQ38" s="26"/>
      <c r="XR38" s="26"/>
      <c r="XS38" s="26"/>
      <c r="XT38" s="26"/>
      <c r="XU38" s="26"/>
      <c r="XV38" s="26"/>
      <c r="XW38" s="26"/>
      <c r="XX38" s="26"/>
      <c r="XY38" s="26"/>
      <c r="XZ38" s="26"/>
      <c r="YA38" s="26"/>
      <c r="YB38" s="26"/>
      <c r="YC38" s="26"/>
      <c r="YD38" s="26"/>
      <c r="YE38" s="26"/>
      <c r="YF38" s="26"/>
      <c r="YG38" s="26"/>
      <c r="YH38" s="26"/>
      <c r="YI38" s="26"/>
      <c r="YJ38" s="26"/>
      <c r="YK38" s="26"/>
      <c r="YL38" s="26"/>
      <c r="YM38" s="26"/>
      <c r="YN38" s="26"/>
      <c r="YO38" s="26"/>
      <c r="YP38" s="26"/>
      <c r="YQ38" s="26"/>
      <c r="YR38" s="26"/>
      <c r="YS38" s="26"/>
      <c r="YT38" s="26"/>
      <c r="YU38" s="26"/>
      <c r="YV38" s="26"/>
      <c r="YW38" s="26"/>
      <c r="YX38" s="26"/>
      <c r="YY38" s="26"/>
      <c r="YZ38" s="26"/>
      <c r="ZA38" s="26"/>
      <c r="ZB38" s="26"/>
      <c r="ZC38" s="26"/>
      <c r="ZD38" s="26"/>
      <c r="ZE38" s="26"/>
      <c r="ZF38" s="26"/>
      <c r="ZG38" s="26"/>
      <c r="ZH38" s="26"/>
      <c r="ZI38" s="26"/>
      <c r="ZJ38" s="26"/>
      <c r="ZK38" s="26"/>
      <c r="ZL38" s="26"/>
      <c r="ZM38" s="26"/>
      <c r="ZN38" s="26"/>
      <c r="ZO38" s="26"/>
      <c r="ZP38" s="26"/>
      <c r="ZQ38" s="26"/>
      <c r="ZR38" s="26"/>
      <c r="ZS38" s="26"/>
      <c r="ZT38" s="26"/>
      <c r="ZU38" s="26"/>
      <c r="ZV38" s="26"/>
      <c r="ZW38" s="26"/>
      <c r="ZX38" s="26"/>
      <c r="ZY38" s="26"/>
      <c r="ZZ38" s="26"/>
      <c r="AAA38" s="26"/>
      <c r="AAB38" s="26"/>
      <c r="AAC38" s="26"/>
      <c r="AAD38" s="26"/>
      <c r="AAE38" s="26"/>
      <c r="AAF38" s="26"/>
      <c r="AAG38" s="26"/>
      <c r="AAH38" s="26"/>
      <c r="AAI38" s="26"/>
      <c r="AAJ38" s="26"/>
      <c r="AAK38" s="26"/>
      <c r="AAL38" s="26"/>
      <c r="AAM38" s="26"/>
      <c r="AAN38" s="26"/>
      <c r="AAO38" s="26"/>
      <c r="AAP38" s="26"/>
      <c r="AAQ38" s="26"/>
      <c r="AAR38" s="26"/>
      <c r="AAS38" s="26"/>
      <c r="AAT38" s="26"/>
      <c r="AAU38" s="26"/>
      <c r="AAV38" s="26"/>
      <c r="AAW38" s="26"/>
      <c r="AAX38" s="26"/>
      <c r="AAY38" s="26"/>
      <c r="AAZ38" s="26"/>
      <c r="ABA38" s="26"/>
      <c r="ABB38" s="26"/>
      <c r="ABC38" s="26"/>
      <c r="ABD38" s="26"/>
      <c r="ABE38" s="26"/>
      <c r="ABF38" s="26"/>
      <c r="ABG38" s="26"/>
      <c r="ABH38" s="26"/>
      <c r="ABI38" s="26"/>
      <c r="ABJ38" s="26"/>
      <c r="ABK38" s="26"/>
      <c r="ABL38" s="26"/>
      <c r="ABM38" s="26"/>
      <c r="ABN38" s="26"/>
      <c r="ABO38" s="26"/>
      <c r="ABP38" s="26"/>
      <c r="ABQ38" s="26"/>
      <c r="ABR38" s="26"/>
      <c r="ABS38" s="26"/>
      <c r="ABT38" s="26"/>
      <c r="ABU38" s="26"/>
      <c r="ABV38" s="26"/>
      <c r="ABW38" s="26"/>
      <c r="ABX38" s="26"/>
      <c r="ABY38" s="26"/>
      <c r="ABZ38" s="26"/>
      <c r="ACA38" s="26"/>
      <c r="ACB38" s="26"/>
      <c r="ACC38" s="26"/>
      <c r="ACD38" s="26"/>
      <c r="ACE38" s="26"/>
      <c r="ACF38" s="26"/>
      <c r="ACG38" s="26"/>
      <c r="ACH38" s="26"/>
      <c r="ACI38" s="26"/>
      <c r="ACJ38" s="26"/>
      <c r="ACK38" s="26"/>
      <c r="ACL38" s="26"/>
      <c r="ACM38" s="26"/>
      <c r="ACN38" s="26"/>
      <c r="ACO38" s="26"/>
      <c r="ACP38" s="26"/>
      <c r="ACQ38" s="26"/>
      <c r="ACR38" s="26"/>
      <c r="ACS38" s="26"/>
      <c r="ACT38" s="26"/>
      <c r="ACU38" s="26"/>
      <c r="ACV38" s="26"/>
      <c r="ACW38" s="26"/>
      <c r="ACX38" s="26"/>
      <c r="ACY38" s="26"/>
      <c r="ACZ38" s="26"/>
      <c r="ADA38" s="26"/>
      <c r="ADB38" s="26"/>
      <c r="ADC38" s="26"/>
      <c r="ADD38" s="26"/>
      <c r="ADE38" s="26"/>
      <c r="ADF38" s="26"/>
      <c r="ADG38" s="26"/>
      <c r="ADH38" s="26"/>
      <c r="ADI38" s="26"/>
      <c r="ADJ38" s="26"/>
      <c r="ADK38" s="26"/>
      <c r="ADL38" s="26"/>
      <c r="ADM38" s="26"/>
      <c r="ADN38" s="26"/>
      <c r="ADO38" s="26"/>
      <c r="ADP38" s="26"/>
      <c r="ADQ38" s="26"/>
      <c r="ADR38" s="26"/>
      <c r="ADS38" s="26"/>
      <c r="ADT38" s="26"/>
      <c r="ADU38" s="26"/>
      <c r="ADV38" s="26"/>
      <c r="ADW38" s="26"/>
      <c r="ADX38" s="26"/>
      <c r="ADY38" s="26"/>
      <c r="ADZ38" s="26"/>
      <c r="AEA38" s="26"/>
      <c r="AEB38" s="26"/>
      <c r="AEC38" s="26"/>
      <c r="AED38" s="26"/>
      <c r="AEE38" s="26"/>
      <c r="AEF38" s="26"/>
      <c r="AEG38" s="26"/>
      <c r="AEH38" s="26"/>
      <c r="AEI38" s="26"/>
      <c r="AEJ38" s="26"/>
      <c r="AEK38" s="26"/>
      <c r="AEL38" s="26"/>
      <c r="AEM38" s="26"/>
      <c r="AEN38" s="26"/>
      <c r="AEO38" s="26"/>
      <c r="AEP38" s="26"/>
      <c r="AEQ38" s="26"/>
      <c r="AER38" s="26"/>
      <c r="AES38" s="26"/>
      <c r="AET38" s="26"/>
      <c r="AEU38" s="26"/>
      <c r="AEV38" s="26"/>
      <c r="AEW38" s="26"/>
      <c r="AEX38" s="26"/>
      <c r="AEY38" s="26"/>
      <c r="AEZ38" s="26"/>
      <c r="AFA38" s="26"/>
      <c r="AFB38" s="26"/>
      <c r="AFC38" s="26"/>
      <c r="AFD38" s="26"/>
      <c r="AFE38" s="26"/>
      <c r="AFF38" s="26"/>
      <c r="AFG38" s="26"/>
      <c r="AFH38" s="26"/>
      <c r="AFI38" s="26"/>
      <c r="AFJ38" s="26"/>
      <c r="AFK38" s="26"/>
      <c r="AFL38" s="26"/>
      <c r="AFM38" s="26"/>
      <c r="AFN38" s="26"/>
      <c r="AFO38" s="26"/>
      <c r="AFP38" s="26"/>
      <c r="AFQ38" s="26"/>
      <c r="AFR38" s="26"/>
      <c r="AFS38" s="26"/>
      <c r="AFT38" s="26"/>
      <c r="AFU38" s="26"/>
      <c r="AFV38" s="26"/>
      <c r="AFW38" s="26"/>
      <c r="AFX38" s="26"/>
      <c r="AFY38" s="26"/>
      <c r="AFZ38" s="26"/>
      <c r="AGA38" s="26"/>
      <c r="AGB38" s="26"/>
      <c r="AGC38" s="26"/>
      <c r="AGD38" s="26"/>
      <c r="AGE38" s="26"/>
      <c r="AGF38" s="26"/>
      <c r="AGG38" s="26"/>
      <c r="AGH38" s="26"/>
      <c r="AGI38" s="26"/>
      <c r="AGJ38" s="26"/>
      <c r="AGK38" s="26"/>
      <c r="AGL38" s="26"/>
      <c r="AGM38" s="26"/>
      <c r="AGN38" s="26"/>
      <c r="AGO38" s="26"/>
      <c r="AGP38" s="26"/>
      <c r="AGQ38" s="26"/>
      <c r="AGR38" s="26"/>
      <c r="AGS38" s="26"/>
      <c r="AGT38" s="26"/>
      <c r="AGU38" s="26"/>
      <c r="AGV38" s="26"/>
      <c r="AGW38" s="26"/>
      <c r="AGX38" s="26"/>
      <c r="AGY38" s="26"/>
      <c r="AGZ38" s="26"/>
      <c r="AHA38" s="26"/>
      <c r="AHB38" s="26"/>
      <c r="AHC38" s="26"/>
      <c r="AHD38" s="26"/>
      <c r="AHE38" s="26"/>
      <c r="AHF38" s="26"/>
      <c r="AHG38" s="26"/>
      <c r="AHH38" s="26"/>
      <c r="AHI38" s="26"/>
      <c r="AHJ38" s="26"/>
      <c r="AHK38" s="26"/>
      <c r="AHL38" s="26"/>
      <c r="AHM38" s="26"/>
      <c r="AHN38" s="26"/>
      <c r="AHO38" s="26"/>
      <c r="AHP38" s="26"/>
      <c r="AHQ38" s="26"/>
      <c r="AHR38" s="26"/>
      <c r="AHS38" s="26"/>
      <c r="AHT38" s="26"/>
      <c r="AHU38" s="26"/>
      <c r="AHV38" s="26"/>
      <c r="AHW38" s="26"/>
      <c r="AHX38" s="26"/>
      <c r="AHY38" s="26"/>
      <c r="AHZ38" s="26"/>
      <c r="AIA38" s="26"/>
      <c r="AIB38" s="26"/>
      <c r="AIC38" s="26"/>
      <c r="AID38" s="26"/>
      <c r="AIE38" s="26"/>
      <c r="AIF38" s="26"/>
      <c r="AIG38" s="26"/>
      <c r="AIH38" s="26"/>
      <c r="AII38" s="26"/>
      <c r="AIJ38" s="26"/>
      <c r="AIK38" s="26"/>
      <c r="AIL38" s="26"/>
      <c r="AIM38" s="26"/>
      <c r="AIN38" s="26"/>
      <c r="AIO38" s="26"/>
      <c r="AIP38" s="26"/>
      <c r="AIQ38" s="26"/>
      <c r="AIR38" s="26"/>
      <c r="AIS38" s="26"/>
      <c r="AIT38" s="26"/>
      <c r="AIU38" s="26"/>
      <c r="AIV38" s="26"/>
      <c r="AIW38" s="26"/>
      <c r="AIX38" s="26"/>
      <c r="AIY38" s="26"/>
      <c r="AIZ38" s="26"/>
      <c r="AJA38" s="26"/>
      <c r="AJB38" s="26"/>
      <c r="AJC38" s="26"/>
      <c r="AJD38" s="26"/>
      <c r="AJE38" s="26"/>
      <c r="AJF38" s="26"/>
      <c r="AJG38" s="26"/>
      <c r="AJH38" s="26"/>
      <c r="AJI38" s="26"/>
      <c r="AJJ38" s="26"/>
      <c r="AJK38" s="26"/>
      <c r="AJL38" s="26"/>
      <c r="AJM38" s="26"/>
      <c r="AJN38" s="26"/>
      <c r="AJO38" s="26"/>
      <c r="AJP38" s="26"/>
      <c r="AJQ38" s="26"/>
      <c r="AJR38" s="26"/>
      <c r="AJS38" s="26"/>
      <c r="AJT38" s="26"/>
      <c r="AJU38" s="26"/>
      <c r="AJV38" s="26"/>
      <c r="AJW38" s="26"/>
      <c r="AJX38" s="26"/>
      <c r="AJY38" s="26"/>
      <c r="AJZ38" s="26"/>
      <c r="AKA38" s="26"/>
      <c r="AKB38" s="26"/>
      <c r="AKC38" s="26"/>
      <c r="AKD38" s="26"/>
      <c r="AKE38" s="26"/>
      <c r="AKF38" s="26"/>
      <c r="AKG38" s="26"/>
      <c r="AKH38" s="26"/>
      <c r="AKI38" s="26"/>
      <c r="AKJ38" s="26"/>
      <c r="AKK38" s="26"/>
      <c r="AKL38" s="26"/>
      <c r="AKM38" s="26"/>
      <c r="AKN38" s="26"/>
      <c r="AKO38" s="26"/>
      <c r="AKP38" s="26"/>
      <c r="AKQ38" s="26"/>
      <c r="AKR38" s="26"/>
      <c r="AKS38" s="26"/>
      <c r="AKT38" s="26"/>
      <c r="AKU38" s="26"/>
      <c r="AKV38" s="26"/>
      <c r="AKW38" s="26"/>
      <c r="AKX38" s="26"/>
      <c r="AKY38" s="26"/>
      <c r="AKZ38" s="26"/>
      <c r="ALA38" s="26"/>
      <c r="ALB38" s="26"/>
      <c r="ALC38" s="26"/>
      <c r="ALD38" s="26"/>
      <c r="ALE38" s="26"/>
      <c r="ALF38" s="26"/>
      <c r="ALG38" s="26"/>
      <c r="ALH38" s="26"/>
      <c r="ALI38" s="26"/>
      <c r="ALJ38" s="26"/>
      <c r="ALK38" s="26"/>
      <c r="ALL38" s="26"/>
      <c r="ALM38" s="26"/>
      <c r="ALN38" s="26"/>
      <c r="ALO38" s="26"/>
      <c r="ALP38" s="26"/>
      <c r="ALQ38" s="26"/>
      <c r="ALR38" s="26"/>
      <c r="ALS38" s="26"/>
      <c r="ALT38" s="26"/>
      <c r="ALU38" s="26"/>
      <c r="ALV38" s="26"/>
      <c r="ALW38" s="26"/>
      <c r="ALX38" s="26"/>
      <c r="ALY38" s="26"/>
      <c r="ALZ38" s="26"/>
      <c r="AMA38" s="26"/>
      <c r="AMB38" s="26"/>
      <c r="AMC38" s="26"/>
      <c r="AMD38" s="26"/>
      <c r="AME38" s="26"/>
      <c r="AMF38" s="26"/>
      <c r="AMG38" s="26"/>
      <c r="AMH38" s="26"/>
      <c r="AMI38" s="26"/>
      <c r="AMJ38" s="26"/>
    </row>
    <row r="39" spans="1:1024">
      <c r="A39" s="73">
        <v>3</v>
      </c>
      <c r="B39" s="271"/>
      <c r="C39" s="272"/>
      <c r="D39" s="287" t="s">
        <v>346</v>
      </c>
      <c r="E39" s="288"/>
      <c r="F39" s="288"/>
      <c r="G39" s="288"/>
      <c r="H39" s="289"/>
      <c r="I39" s="10">
        <f>H42</f>
        <v>0</v>
      </c>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row>
    <row r="40" spans="1:1024" ht="25.5">
      <c r="A40" s="219" t="s">
        <v>17</v>
      </c>
      <c r="B40" s="219" t="s">
        <v>387</v>
      </c>
      <c r="C40" s="69" t="s">
        <v>12</v>
      </c>
      <c r="D40" s="24" t="s">
        <v>388</v>
      </c>
      <c r="E40" s="69" t="s">
        <v>107</v>
      </c>
      <c r="F40" s="35">
        <f>'MEMÓRIA DE CÁLCULO'!H173</f>
        <v>78.400000000000006</v>
      </c>
      <c r="G40" s="35"/>
      <c r="H40" s="36">
        <f t="shared" ref="H40:H41" si="15">ROUND((G40*$I$10)+G40,2)</f>
        <v>0</v>
      </c>
      <c r="I40" s="71">
        <f t="shared" ref="I40:I41" si="16">ROUND(F40*H40,2)</f>
        <v>0</v>
      </c>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row>
    <row r="41" spans="1:1024" s="25" customFormat="1" ht="12.75">
      <c r="A41" s="219" t="s">
        <v>283</v>
      </c>
      <c r="B41" s="219" t="s">
        <v>385</v>
      </c>
      <c r="C41" s="69" t="s">
        <v>12</v>
      </c>
      <c r="D41" s="24" t="s">
        <v>386</v>
      </c>
      <c r="E41" s="69" t="s">
        <v>107</v>
      </c>
      <c r="F41" s="35">
        <f>'MEMÓRIA DE CÁLCULO'!H176</f>
        <v>78.400000000000006</v>
      </c>
      <c r="G41" s="35"/>
      <c r="H41" s="36">
        <f t="shared" si="15"/>
        <v>0</v>
      </c>
      <c r="I41" s="71">
        <f t="shared" si="16"/>
        <v>0</v>
      </c>
    </row>
    <row r="42" spans="1:1024" s="25" customFormat="1" ht="12.75">
      <c r="A42" s="261" t="s">
        <v>347</v>
      </c>
      <c r="B42" s="262"/>
      <c r="C42" s="262"/>
      <c r="D42" s="262"/>
      <c r="E42" s="262"/>
      <c r="F42" s="262"/>
      <c r="G42" s="263"/>
      <c r="H42" s="257">
        <f>SUM(I40:I41)</f>
        <v>0</v>
      </c>
      <c r="I42" s="258"/>
    </row>
    <row r="43" spans="1:1024">
      <c r="A43" s="73">
        <v>4</v>
      </c>
      <c r="B43" s="271"/>
      <c r="C43" s="272"/>
      <c r="D43" s="287" t="s">
        <v>18</v>
      </c>
      <c r="E43" s="288"/>
      <c r="F43" s="288"/>
      <c r="G43" s="288"/>
      <c r="H43" s="289"/>
      <c r="I43" s="10">
        <f>H48</f>
        <v>0</v>
      </c>
    </row>
    <row r="44" spans="1:1024">
      <c r="A44" s="76" t="s">
        <v>106</v>
      </c>
      <c r="B44" s="259"/>
      <c r="C44" s="260"/>
      <c r="D44" s="268" t="s">
        <v>19</v>
      </c>
      <c r="E44" s="269"/>
      <c r="F44" s="269"/>
      <c r="G44" s="269"/>
      <c r="H44" s="269"/>
      <c r="I44" s="270"/>
    </row>
    <row r="45" spans="1:1024" ht="25.5">
      <c r="A45" s="33" t="s">
        <v>103</v>
      </c>
      <c r="B45" s="33">
        <v>93182</v>
      </c>
      <c r="C45" s="33" t="s">
        <v>14</v>
      </c>
      <c r="D45" s="24" t="s">
        <v>219</v>
      </c>
      <c r="E45" s="33" t="s">
        <v>111</v>
      </c>
      <c r="F45" s="35">
        <f>'MEMÓRIA DE CÁLCULO'!H182</f>
        <v>1</v>
      </c>
      <c r="G45" s="35"/>
      <c r="H45" s="36">
        <f t="shared" ref="H45:H47" si="17">ROUND((G45*$I$10)+G45,2)</f>
        <v>0</v>
      </c>
      <c r="I45" s="71">
        <f t="shared" ref="I45:I47" si="18">ROUND(F45*H45,2)</f>
        <v>0</v>
      </c>
    </row>
    <row r="46" spans="1:1024" s="28" customFormat="1">
      <c r="A46" s="232" t="s">
        <v>104</v>
      </c>
      <c r="B46" s="33">
        <v>93194</v>
      </c>
      <c r="C46" s="33" t="s">
        <v>14</v>
      </c>
      <c r="D46" s="24" t="s">
        <v>220</v>
      </c>
      <c r="E46" s="33" t="s">
        <v>111</v>
      </c>
      <c r="F46" s="35">
        <f>'MEMÓRIA DE CÁLCULO'!H186</f>
        <v>1</v>
      </c>
      <c r="G46" s="35"/>
      <c r="H46" s="36">
        <f t="shared" si="17"/>
        <v>0</v>
      </c>
      <c r="I46" s="71">
        <f t="shared" si="18"/>
        <v>0</v>
      </c>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row>
    <row r="47" spans="1:1024" s="25" customFormat="1" ht="25.5">
      <c r="A47" s="232" t="s">
        <v>105</v>
      </c>
      <c r="B47" s="33">
        <v>93184</v>
      </c>
      <c r="C47" s="33" t="s">
        <v>14</v>
      </c>
      <c r="D47" s="24" t="s">
        <v>221</v>
      </c>
      <c r="E47" s="33" t="s">
        <v>111</v>
      </c>
      <c r="F47" s="35">
        <f>'MEMÓRIA DE CÁLCULO'!H190</f>
        <v>4</v>
      </c>
      <c r="G47" s="35"/>
      <c r="H47" s="36">
        <f t="shared" si="17"/>
        <v>0</v>
      </c>
      <c r="I47" s="71">
        <f t="shared" si="18"/>
        <v>0</v>
      </c>
    </row>
    <row r="48" spans="1:1024" s="25" customFormat="1" ht="12.75">
      <c r="A48" s="261" t="s">
        <v>348</v>
      </c>
      <c r="B48" s="262"/>
      <c r="C48" s="262"/>
      <c r="D48" s="262"/>
      <c r="E48" s="262"/>
      <c r="F48" s="262"/>
      <c r="G48" s="263"/>
      <c r="H48" s="257">
        <f>SUM(I45:I47)</f>
        <v>0</v>
      </c>
      <c r="I48" s="258"/>
    </row>
    <row r="49" spans="1:1024">
      <c r="A49" s="73">
        <v>5</v>
      </c>
      <c r="B49" s="271"/>
      <c r="C49" s="272"/>
      <c r="D49" s="287" t="s">
        <v>91</v>
      </c>
      <c r="E49" s="288"/>
      <c r="F49" s="288"/>
      <c r="G49" s="288"/>
      <c r="H49" s="289"/>
      <c r="I49" s="10">
        <f>H52</f>
        <v>0</v>
      </c>
    </row>
    <row r="50" spans="1:1024">
      <c r="A50" s="76" t="s">
        <v>20</v>
      </c>
      <c r="B50" s="259"/>
      <c r="C50" s="260"/>
      <c r="D50" s="268" t="s">
        <v>21</v>
      </c>
      <c r="E50" s="269"/>
      <c r="F50" s="269"/>
      <c r="G50" s="269"/>
      <c r="H50" s="269"/>
      <c r="I50" s="270"/>
    </row>
    <row r="51" spans="1:1024" ht="25.5">
      <c r="A51" s="37" t="s">
        <v>22</v>
      </c>
      <c r="B51" s="37" t="s">
        <v>58</v>
      </c>
      <c r="C51" s="37" t="s">
        <v>12</v>
      </c>
      <c r="D51" s="24" t="s">
        <v>119</v>
      </c>
      <c r="E51" s="37" t="s">
        <v>15</v>
      </c>
      <c r="F51" s="35">
        <f>'MEMÓRIA DE CÁLCULO'!H199</f>
        <v>33.655000000000001</v>
      </c>
      <c r="G51" s="35"/>
      <c r="H51" s="36">
        <f t="shared" ref="H51" si="19">ROUND((G51*$I$10)+G51,2)</f>
        <v>0</v>
      </c>
      <c r="I51" s="71">
        <f t="shared" ref="I51" si="20">ROUND(F51*H51,2)</f>
        <v>0</v>
      </c>
    </row>
    <row r="52" spans="1:1024" s="25" customFormat="1" ht="12.75">
      <c r="A52" s="261" t="s">
        <v>349</v>
      </c>
      <c r="B52" s="262"/>
      <c r="C52" s="262"/>
      <c r="D52" s="262"/>
      <c r="E52" s="262"/>
      <c r="F52" s="262"/>
      <c r="G52" s="263"/>
      <c r="H52" s="257">
        <f>SUM(I51:I51)</f>
        <v>0</v>
      </c>
      <c r="I52" s="258"/>
    </row>
    <row r="53" spans="1:1024" s="28" customFormat="1">
      <c r="A53" s="73">
        <v>6</v>
      </c>
      <c r="B53" s="271"/>
      <c r="C53" s="272"/>
      <c r="D53" s="287" t="s">
        <v>23</v>
      </c>
      <c r="E53" s="288"/>
      <c r="F53" s="288"/>
      <c r="G53" s="288"/>
      <c r="H53" s="289"/>
      <c r="I53" s="10">
        <f>H67</f>
        <v>0</v>
      </c>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c r="IZ53" s="26"/>
      <c r="JA53" s="26"/>
      <c r="JB53" s="26"/>
      <c r="JC53" s="26"/>
      <c r="JD53" s="26"/>
      <c r="JE53" s="26"/>
      <c r="JF53" s="26"/>
      <c r="JG53" s="26"/>
      <c r="JH53" s="26"/>
      <c r="JI53" s="26"/>
      <c r="JJ53" s="26"/>
      <c r="JK53" s="26"/>
      <c r="JL53" s="26"/>
      <c r="JM53" s="26"/>
      <c r="JN53" s="26"/>
      <c r="JO53" s="26"/>
      <c r="JP53" s="26"/>
      <c r="JQ53" s="26"/>
      <c r="JR53" s="26"/>
      <c r="JS53" s="26"/>
      <c r="JT53" s="26"/>
      <c r="JU53" s="26"/>
      <c r="JV53" s="26"/>
      <c r="JW53" s="26"/>
      <c r="JX53" s="26"/>
      <c r="JY53" s="26"/>
      <c r="JZ53" s="26"/>
      <c r="KA53" s="26"/>
      <c r="KB53" s="26"/>
      <c r="KC53" s="26"/>
      <c r="KD53" s="26"/>
      <c r="KE53" s="26"/>
      <c r="KF53" s="26"/>
      <c r="KG53" s="26"/>
      <c r="KH53" s="26"/>
      <c r="KI53" s="26"/>
      <c r="KJ53" s="26"/>
      <c r="KK53" s="26"/>
      <c r="KL53" s="26"/>
      <c r="KM53" s="26"/>
      <c r="KN53" s="26"/>
      <c r="KO53" s="26"/>
      <c r="KP53" s="26"/>
      <c r="KQ53" s="26"/>
      <c r="KR53" s="26"/>
      <c r="KS53" s="26"/>
      <c r="KT53" s="26"/>
      <c r="KU53" s="26"/>
      <c r="KV53" s="26"/>
      <c r="KW53" s="26"/>
      <c r="KX53" s="26"/>
      <c r="KY53" s="26"/>
      <c r="KZ53" s="26"/>
      <c r="LA53" s="26"/>
      <c r="LB53" s="26"/>
      <c r="LC53" s="26"/>
      <c r="LD53" s="26"/>
      <c r="LE53" s="26"/>
      <c r="LF53" s="26"/>
      <c r="LG53" s="26"/>
      <c r="LH53" s="26"/>
      <c r="LI53" s="26"/>
      <c r="LJ53" s="26"/>
      <c r="LK53" s="26"/>
      <c r="LL53" s="26"/>
      <c r="LM53" s="26"/>
      <c r="LN53" s="26"/>
      <c r="LO53" s="26"/>
      <c r="LP53" s="26"/>
      <c r="LQ53" s="26"/>
      <c r="LR53" s="26"/>
      <c r="LS53" s="26"/>
      <c r="LT53" s="26"/>
      <c r="LU53" s="26"/>
      <c r="LV53" s="26"/>
      <c r="LW53" s="26"/>
      <c r="LX53" s="26"/>
      <c r="LY53" s="26"/>
      <c r="LZ53" s="26"/>
      <c r="MA53" s="26"/>
      <c r="MB53" s="26"/>
      <c r="MC53" s="26"/>
      <c r="MD53" s="26"/>
      <c r="ME53" s="26"/>
      <c r="MF53" s="26"/>
      <c r="MG53" s="26"/>
      <c r="MH53" s="26"/>
      <c r="MI53" s="26"/>
      <c r="MJ53" s="26"/>
      <c r="MK53" s="26"/>
      <c r="ML53" s="26"/>
      <c r="MM53" s="26"/>
      <c r="MN53" s="26"/>
      <c r="MO53" s="26"/>
      <c r="MP53" s="26"/>
      <c r="MQ53" s="26"/>
      <c r="MR53" s="26"/>
      <c r="MS53" s="26"/>
      <c r="MT53" s="26"/>
      <c r="MU53" s="26"/>
      <c r="MV53" s="26"/>
      <c r="MW53" s="26"/>
      <c r="MX53" s="26"/>
      <c r="MY53" s="26"/>
      <c r="MZ53" s="26"/>
      <c r="NA53" s="26"/>
      <c r="NB53" s="26"/>
      <c r="NC53" s="26"/>
      <c r="ND53" s="26"/>
      <c r="NE53" s="26"/>
      <c r="NF53" s="26"/>
      <c r="NG53" s="26"/>
      <c r="NH53" s="26"/>
      <c r="NI53" s="26"/>
      <c r="NJ53" s="26"/>
      <c r="NK53" s="26"/>
      <c r="NL53" s="26"/>
      <c r="NM53" s="26"/>
      <c r="NN53" s="26"/>
      <c r="NO53" s="26"/>
      <c r="NP53" s="26"/>
      <c r="NQ53" s="26"/>
      <c r="NR53" s="26"/>
      <c r="NS53" s="26"/>
      <c r="NT53" s="26"/>
      <c r="NU53" s="26"/>
      <c r="NV53" s="26"/>
      <c r="NW53" s="26"/>
      <c r="NX53" s="26"/>
      <c r="NY53" s="26"/>
      <c r="NZ53" s="26"/>
      <c r="OA53" s="26"/>
      <c r="OB53" s="26"/>
      <c r="OC53" s="26"/>
      <c r="OD53" s="26"/>
      <c r="OE53" s="26"/>
      <c r="OF53" s="26"/>
      <c r="OG53" s="26"/>
      <c r="OH53" s="26"/>
      <c r="OI53" s="26"/>
      <c r="OJ53" s="26"/>
      <c r="OK53" s="26"/>
      <c r="OL53" s="26"/>
      <c r="OM53" s="26"/>
      <c r="ON53" s="26"/>
      <c r="OO53" s="26"/>
      <c r="OP53" s="26"/>
      <c r="OQ53" s="26"/>
      <c r="OR53" s="26"/>
      <c r="OS53" s="26"/>
      <c r="OT53" s="26"/>
      <c r="OU53" s="26"/>
      <c r="OV53" s="26"/>
      <c r="OW53" s="26"/>
      <c r="OX53" s="26"/>
      <c r="OY53" s="26"/>
      <c r="OZ53" s="26"/>
      <c r="PA53" s="26"/>
      <c r="PB53" s="26"/>
      <c r="PC53" s="26"/>
      <c r="PD53" s="26"/>
      <c r="PE53" s="26"/>
      <c r="PF53" s="26"/>
      <c r="PG53" s="26"/>
      <c r="PH53" s="26"/>
      <c r="PI53" s="26"/>
      <c r="PJ53" s="26"/>
      <c r="PK53" s="26"/>
      <c r="PL53" s="26"/>
      <c r="PM53" s="26"/>
      <c r="PN53" s="26"/>
      <c r="PO53" s="26"/>
      <c r="PP53" s="26"/>
      <c r="PQ53" s="26"/>
      <c r="PR53" s="26"/>
      <c r="PS53" s="26"/>
      <c r="PT53" s="26"/>
      <c r="PU53" s="26"/>
      <c r="PV53" s="26"/>
      <c r="PW53" s="26"/>
      <c r="PX53" s="26"/>
      <c r="PY53" s="26"/>
      <c r="PZ53" s="26"/>
      <c r="QA53" s="26"/>
      <c r="QB53" s="26"/>
      <c r="QC53" s="26"/>
      <c r="QD53" s="26"/>
      <c r="QE53" s="26"/>
      <c r="QF53" s="26"/>
      <c r="QG53" s="26"/>
      <c r="QH53" s="26"/>
      <c r="QI53" s="26"/>
      <c r="QJ53" s="26"/>
      <c r="QK53" s="26"/>
      <c r="QL53" s="26"/>
      <c r="QM53" s="26"/>
      <c r="QN53" s="26"/>
      <c r="QO53" s="26"/>
      <c r="QP53" s="26"/>
      <c r="QQ53" s="26"/>
      <c r="QR53" s="26"/>
      <c r="QS53" s="26"/>
      <c r="QT53" s="26"/>
      <c r="QU53" s="26"/>
      <c r="QV53" s="26"/>
      <c r="QW53" s="26"/>
      <c r="QX53" s="26"/>
      <c r="QY53" s="26"/>
      <c r="QZ53" s="26"/>
      <c r="RA53" s="26"/>
      <c r="RB53" s="26"/>
      <c r="RC53" s="26"/>
      <c r="RD53" s="26"/>
      <c r="RE53" s="26"/>
      <c r="RF53" s="26"/>
      <c r="RG53" s="26"/>
      <c r="RH53" s="26"/>
      <c r="RI53" s="26"/>
      <c r="RJ53" s="26"/>
      <c r="RK53" s="26"/>
      <c r="RL53" s="26"/>
      <c r="RM53" s="26"/>
      <c r="RN53" s="26"/>
      <c r="RO53" s="26"/>
      <c r="RP53" s="26"/>
      <c r="RQ53" s="26"/>
      <c r="RR53" s="26"/>
      <c r="RS53" s="26"/>
      <c r="RT53" s="26"/>
      <c r="RU53" s="26"/>
      <c r="RV53" s="26"/>
      <c r="RW53" s="26"/>
      <c r="RX53" s="26"/>
      <c r="RY53" s="26"/>
      <c r="RZ53" s="26"/>
      <c r="SA53" s="26"/>
      <c r="SB53" s="26"/>
      <c r="SC53" s="26"/>
      <c r="SD53" s="26"/>
      <c r="SE53" s="26"/>
      <c r="SF53" s="26"/>
      <c r="SG53" s="26"/>
      <c r="SH53" s="26"/>
      <c r="SI53" s="26"/>
      <c r="SJ53" s="26"/>
      <c r="SK53" s="26"/>
      <c r="SL53" s="26"/>
      <c r="SM53" s="26"/>
      <c r="SN53" s="26"/>
      <c r="SO53" s="26"/>
      <c r="SP53" s="26"/>
      <c r="SQ53" s="26"/>
      <c r="SR53" s="26"/>
      <c r="SS53" s="26"/>
      <c r="ST53" s="26"/>
      <c r="SU53" s="26"/>
      <c r="SV53" s="26"/>
      <c r="SW53" s="26"/>
      <c r="SX53" s="26"/>
      <c r="SY53" s="26"/>
      <c r="SZ53" s="26"/>
      <c r="TA53" s="26"/>
      <c r="TB53" s="26"/>
      <c r="TC53" s="26"/>
      <c r="TD53" s="26"/>
      <c r="TE53" s="26"/>
      <c r="TF53" s="26"/>
      <c r="TG53" s="26"/>
      <c r="TH53" s="26"/>
      <c r="TI53" s="26"/>
      <c r="TJ53" s="26"/>
      <c r="TK53" s="26"/>
      <c r="TL53" s="26"/>
      <c r="TM53" s="26"/>
      <c r="TN53" s="26"/>
      <c r="TO53" s="26"/>
      <c r="TP53" s="26"/>
      <c r="TQ53" s="26"/>
      <c r="TR53" s="26"/>
      <c r="TS53" s="26"/>
      <c r="TT53" s="26"/>
      <c r="TU53" s="26"/>
      <c r="TV53" s="26"/>
      <c r="TW53" s="26"/>
      <c r="TX53" s="26"/>
      <c r="TY53" s="26"/>
      <c r="TZ53" s="26"/>
      <c r="UA53" s="26"/>
      <c r="UB53" s="26"/>
      <c r="UC53" s="26"/>
      <c r="UD53" s="26"/>
      <c r="UE53" s="26"/>
      <c r="UF53" s="26"/>
      <c r="UG53" s="26"/>
      <c r="UH53" s="26"/>
      <c r="UI53" s="26"/>
      <c r="UJ53" s="26"/>
      <c r="UK53" s="26"/>
      <c r="UL53" s="26"/>
      <c r="UM53" s="26"/>
      <c r="UN53" s="26"/>
      <c r="UO53" s="26"/>
      <c r="UP53" s="26"/>
      <c r="UQ53" s="26"/>
      <c r="UR53" s="26"/>
      <c r="US53" s="26"/>
      <c r="UT53" s="26"/>
      <c r="UU53" s="26"/>
      <c r="UV53" s="26"/>
      <c r="UW53" s="26"/>
      <c r="UX53" s="26"/>
      <c r="UY53" s="26"/>
      <c r="UZ53" s="26"/>
      <c r="VA53" s="26"/>
      <c r="VB53" s="26"/>
      <c r="VC53" s="26"/>
      <c r="VD53" s="26"/>
      <c r="VE53" s="26"/>
      <c r="VF53" s="26"/>
      <c r="VG53" s="26"/>
      <c r="VH53" s="26"/>
      <c r="VI53" s="26"/>
      <c r="VJ53" s="26"/>
      <c r="VK53" s="26"/>
      <c r="VL53" s="26"/>
      <c r="VM53" s="26"/>
      <c r="VN53" s="26"/>
      <c r="VO53" s="26"/>
      <c r="VP53" s="26"/>
      <c r="VQ53" s="26"/>
      <c r="VR53" s="26"/>
      <c r="VS53" s="26"/>
      <c r="VT53" s="26"/>
      <c r="VU53" s="26"/>
      <c r="VV53" s="26"/>
      <c r="VW53" s="26"/>
      <c r="VX53" s="26"/>
      <c r="VY53" s="26"/>
      <c r="VZ53" s="26"/>
      <c r="WA53" s="26"/>
      <c r="WB53" s="26"/>
      <c r="WC53" s="26"/>
      <c r="WD53" s="26"/>
      <c r="WE53" s="26"/>
      <c r="WF53" s="26"/>
      <c r="WG53" s="26"/>
      <c r="WH53" s="26"/>
      <c r="WI53" s="26"/>
      <c r="WJ53" s="26"/>
      <c r="WK53" s="26"/>
      <c r="WL53" s="26"/>
      <c r="WM53" s="26"/>
      <c r="WN53" s="26"/>
      <c r="WO53" s="26"/>
      <c r="WP53" s="26"/>
      <c r="WQ53" s="26"/>
      <c r="WR53" s="26"/>
      <c r="WS53" s="26"/>
      <c r="WT53" s="26"/>
      <c r="WU53" s="26"/>
      <c r="WV53" s="26"/>
      <c r="WW53" s="26"/>
      <c r="WX53" s="26"/>
      <c r="WY53" s="26"/>
      <c r="WZ53" s="26"/>
      <c r="XA53" s="26"/>
      <c r="XB53" s="26"/>
      <c r="XC53" s="26"/>
      <c r="XD53" s="26"/>
      <c r="XE53" s="26"/>
      <c r="XF53" s="26"/>
      <c r="XG53" s="26"/>
      <c r="XH53" s="26"/>
      <c r="XI53" s="26"/>
      <c r="XJ53" s="26"/>
      <c r="XK53" s="26"/>
      <c r="XL53" s="26"/>
      <c r="XM53" s="26"/>
      <c r="XN53" s="26"/>
      <c r="XO53" s="26"/>
      <c r="XP53" s="26"/>
      <c r="XQ53" s="26"/>
      <c r="XR53" s="26"/>
      <c r="XS53" s="26"/>
      <c r="XT53" s="26"/>
      <c r="XU53" s="26"/>
      <c r="XV53" s="26"/>
      <c r="XW53" s="26"/>
      <c r="XX53" s="26"/>
      <c r="XY53" s="26"/>
      <c r="XZ53" s="26"/>
      <c r="YA53" s="26"/>
      <c r="YB53" s="26"/>
      <c r="YC53" s="26"/>
      <c r="YD53" s="26"/>
      <c r="YE53" s="26"/>
      <c r="YF53" s="26"/>
      <c r="YG53" s="26"/>
      <c r="YH53" s="26"/>
      <c r="YI53" s="26"/>
      <c r="YJ53" s="26"/>
      <c r="YK53" s="26"/>
      <c r="YL53" s="26"/>
      <c r="YM53" s="26"/>
      <c r="YN53" s="26"/>
      <c r="YO53" s="26"/>
      <c r="YP53" s="26"/>
      <c r="YQ53" s="26"/>
      <c r="YR53" s="26"/>
      <c r="YS53" s="26"/>
      <c r="YT53" s="26"/>
      <c r="YU53" s="26"/>
      <c r="YV53" s="26"/>
      <c r="YW53" s="26"/>
      <c r="YX53" s="26"/>
      <c r="YY53" s="26"/>
      <c r="YZ53" s="26"/>
      <c r="ZA53" s="26"/>
      <c r="ZB53" s="26"/>
      <c r="ZC53" s="26"/>
      <c r="ZD53" s="26"/>
      <c r="ZE53" s="26"/>
      <c r="ZF53" s="26"/>
      <c r="ZG53" s="26"/>
      <c r="ZH53" s="26"/>
      <c r="ZI53" s="26"/>
      <c r="ZJ53" s="26"/>
      <c r="ZK53" s="26"/>
      <c r="ZL53" s="26"/>
      <c r="ZM53" s="26"/>
      <c r="ZN53" s="26"/>
      <c r="ZO53" s="26"/>
      <c r="ZP53" s="26"/>
      <c r="ZQ53" s="26"/>
      <c r="ZR53" s="26"/>
      <c r="ZS53" s="26"/>
      <c r="ZT53" s="26"/>
      <c r="ZU53" s="26"/>
      <c r="ZV53" s="26"/>
      <c r="ZW53" s="26"/>
      <c r="ZX53" s="26"/>
      <c r="ZY53" s="26"/>
      <c r="ZZ53" s="26"/>
      <c r="AAA53" s="26"/>
      <c r="AAB53" s="26"/>
      <c r="AAC53" s="26"/>
      <c r="AAD53" s="26"/>
      <c r="AAE53" s="26"/>
      <c r="AAF53" s="26"/>
      <c r="AAG53" s="26"/>
      <c r="AAH53" s="26"/>
      <c r="AAI53" s="26"/>
      <c r="AAJ53" s="26"/>
      <c r="AAK53" s="26"/>
      <c r="AAL53" s="26"/>
      <c r="AAM53" s="26"/>
      <c r="AAN53" s="26"/>
      <c r="AAO53" s="26"/>
      <c r="AAP53" s="26"/>
      <c r="AAQ53" s="26"/>
      <c r="AAR53" s="26"/>
      <c r="AAS53" s="26"/>
      <c r="AAT53" s="26"/>
      <c r="AAU53" s="26"/>
      <c r="AAV53" s="26"/>
      <c r="AAW53" s="26"/>
      <c r="AAX53" s="26"/>
      <c r="AAY53" s="26"/>
      <c r="AAZ53" s="26"/>
      <c r="ABA53" s="26"/>
      <c r="ABB53" s="26"/>
      <c r="ABC53" s="26"/>
      <c r="ABD53" s="26"/>
      <c r="ABE53" s="26"/>
      <c r="ABF53" s="26"/>
      <c r="ABG53" s="26"/>
      <c r="ABH53" s="26"/>
      <c r="ABI53" s="26"/>
      <c r="ABJ53" s="26"/>
      <c r="ABK53" s="26"/>
      <c r="ABL53" s="26"/>
      <c r="ABM53" s="26"/>
      <c r="ABN53" s="26"/>
      <c r="ABO53" s="26"/>
      <c r="ABP53" s="26"/>
      <c r="ABQ53" s="26"/>
      <c r="ABR53" s="26"/>
      <c r="ABS53" s="26"/>
      <c r="ABT53" s="26"/>
      <c r="ABU53" s="26"/>
      <c r="ABV53" s="26"/>
      <c r="ABW53" s="26"/>
      <c r="ABX53" s="26"/>
      <c r="ABY53" s="26"/>
      <c r="ABZ53" s="26"/>
      <c r="ACA53" s="26"/>
      <c r="ACB53" s="26"/>
      <c r="ACC53" s="26"/>
      <c r="ACD53" s="26"/>
      <c r="ACE53" s="26"/>
      <c r="ACF53" s="26"/>
      <c r="ACG53" s="26"/>
      <c r="ACH53" s="26"/>
      <c r="ACI53" s="26"/>
      <c r="ACJ53" s="26"/>
      <c r="ACK53" s="26"/>
      <c r="ACL53" s="26"/>
      <c r="ACM53" s="26"/>
      <c r="ACN53" s="26"/>
      <c r="ACO53" s="26"/>
      <c r="ACP53" s="26"/>
      <c r="ACQ53" s="26"/>
      <c r="ACR53" s="26"/>
      <c r="ACS53" s="26"/>
      <c r="ACT53" s="26"/>
      <c r="ACU53" s="26"/>
      <c r="ACV53" s="26"/>
      <c r="ACW53" s="26"/>
      <c r="ACX53" s="26"/>
      <c r="ACY53" s="26"/>
      <c r="ACZ53" s="26"/>
      <c r="ADA53" s="26"/>
      <c r="ADB53" s="26"/>
      <c r="ADC53" s="26"/>
      <c r="ADD53" s="26"/>
      <c r="ADE53" s="26"/>
      <c r="ADF53" s="26"/>
      <c r="ADG53" s="26"/>
      <c r="ADH53" s="26"/>
      <c r="ADI53" s="26"/>
      <c r="ADJ53" s="26"/>
      <c r="ADK53" s="26"/>
      <c r="ADL53" s="26"/>
      <c r="ADM53" s="26"/>
      <c r="ADN53" s="26"/>
      <c r="ADO53" s="26"/>
      <c r="ADP53" s="26"/>
      <c r="ADQ53" s="26"/>
      <c r="ADR53" s="26"/>
      <c r="ADS53" s="26"/>
      <c r="ADT53" s="26"/>
      <c r="ADU53" s="26"/>
      <c r="ADV53" s="26"/>
      <c r="ADW53" s="26"/>
      <c r="ADX53" s="26"/>
      <c r="ADY53" s="26"/>
      <c r="ADZ53" s="26"/>
      <c r="AEA53" s="26"/>
      <c r="AEB53" s="26"/>
      <c r="AEC53" s="26"/>
      <c r="AED53" s="26"/>
      <c r="AEE53" s="26"/>
      <c r="AEF53" s="26"/>
      <c r="AEG53" s="26"/>
      <c r="AEH53" s="26"/>
      <c r="AEI53" s="26"/>
      <c r="AEJ53" s="26"/>
      <c r="AEK53" s="26"/>
      <c r="AEL53" s="26"/>
      <c r="AEM53" s="26"/>
      <c r="AEN53" s="26"/>
      <c r="AEO53" s="26"/>
      <c r="AEP53" s="26"/>
      <c r="AEQ53" s="26"/>
      <c r="AER53" s="26"/>
      <c r="AES53" s="26"/>
      <c r="AET53" s="26"/>
      <c r="AEU53" s="26"/>
      <c r="AEV53" s="26"/>
      <c r="AEW53" s="26"/>
      <c r="AEX53" s="26"/>
      <c r="AEY53" s="26"/>
      <c r="AEZ53" s="26"/>
      <c r="AFA53" s="26"/>
      <c r="AFB53" s="26"/>
      <c r="AFC53" s="26"/>
      <c r="AFD53" s="26"/>
      <c r="AFE53" s="26"/>
      <c r="AFF53" s="26"/>
      <c r="AFG53" s="26"/>
      <c r="AFH53" s="26"/>
      <c r="AFI53" s="26"/>
      <c r="AFJ53" s="26"/>
      <c r="AFK53" s="26"/>
      <c r="AFL53" s="26"/>
      <c r="AFM53" s="26"/>
      <c r="AFN53" s="26"/>
      <c r="AFO53" s="26"/>
      <c r="AFP53" s="26"/>
      <c r="AFQ53" s="26"/>
      <c r="AFR53" s="26"/>
      <c r="AFS53" s="26"/>
      <c r="AFT53" s="26"/>
      <c r="AFU53" s="26"/>
      <c r="AFV53" s="26"/>
      <c r="AFW53" s="26"/>
      <c r="AFX53" s="26"/>
      <c r="AFY53" s="26"/>
      <c r="AFZ53" s="26"/>
      <c r="AGA53" s="26"/>
      <c r="AGB53" s="26"/>
      <c r="AGC53" s="26"/>
      <c r="AGD53" s="26"/>
      <c r="AGE53" s="26"/>
      <c r="AGF53" s="26"/>
      <c r="AGG53" s="26"/>
      <c r="AGH53" s="26"/>
      <c r="AGI53" s="26"/>
      <c r="AGJ53" s="26"/>
      <c r="AGK53" s="26"/>
      <c r="AGL53" s="26"/>
      <c r="AGM53" s="26"/>
      <c r="AGN53" s="26"/>
      <c r="AGO53" s="26"/>
      <c r="AGP53" s="26"/>
      <c r="AGQ53" s="26"/>
      <c r="AGR53" s="26"/>
      <c r="AGS53" s="26"/>
      <c r="AGT53" s="26"/>
      <c r="AGU53" s="26"/>
      <c r="AGV53" s="26"/>
      <c r="AGW53" s="26"/>
      <c r="AGX53" s="26"/>
      <c r="AGY53" s="26"/>
      <c r="AGZ53" s="26"/>
      <c r="AHA53" s="26"/>
      <c r="AHB53" s="26"/>
      <c r="AHC53" s="26"/>
      <c r="AHD53" s="26"/>
      <c r="AHE53" s="26"/>
      <c r="AHF53" s="26"/>
      <c r="AHG53" s="26"/>
      <c r="AHH53" s="26"/>
      <c r="AHI53" s="26"/>
      <c r="AHJ53" s="26"/>
      <c r="AHK53" s="26"/>
      <c r="AHL53" s="26"/>
      <c r="AHM53" s="26"/>
      <c r="AHN53" s="26"/>
      <c r="AHO53" s="26"/>
      <c r="AHP53" s="26"/>
      <c r="AHQ53" s="26"/>
      <c r="AHR53" s="26"/>
      <c r="AHS53" s="26"/>
      <c r="AHT53" s="26"/>
      <c r="AHU53" s="26"/>
      <c r="AHV53" s="26"/>
      <c r="AHW53" s="26"/>
      <c r="AHX53" s="26"/>
      <c r="AHY53" s="26"/>
      <c r="AHZ53" s="26"/>
      <c r="AIA53" s="26"/>
      <c r="AIB53" s="26"/>
      <c r="AIC53" s="26"/>
      <c r="AID53" s="26"/>
      <c r="AIE53" s="26"/>
      <c r="AIF53" s="26"/>
      <c r="AIG53" s="26"/>
      <c r="AIH53" s="26"/>
      <c r="AII53" s="26"/>
      <c r="AIJ53" s="26"/>
      <c r="AIK53" s="26"/>
      <c r="AIL53" s="26"/>
      <c r="AIM53" s="26"/>
      <c r="AIN53" s="26"/>
      <c r="AIO53" s="26"/>
      <c r="AIP53" s="26"/>
      <c r="AIQ53" s="26"/>
      <c r="AIR53" s="26"/>
      <c r="AIS53" s="26"/>
      <c r="AIT53" s="26"/>
      <c r="AIU53" s="26"/>
      <c r="AIV53" s="26"/>
      <c r="AIW53" s="26"/>
      <c r="AIX53" s="26"/>
      <c r="AIY53" s="26"/>
      <c r="AIZ53" s="26"/>
      <c r="AJA53" s="26"/>
      <c r="AJB53" s="26"/>
      <c r="AJC53" s="26"/>
      <c r="AJD53" s="26"/>
      <c r="AJE53" s="26"/>
      <c r="AJF53" s="26"/>
      <c r="AJG53" s="26"/>
      <c r="AJH53" s="26"/>
      <c r="AJI53" s="26"/>
      <c r="AJJ53" s="26"/>
      <c r="AJK53" s="26"/>
      <c r="AJL53" s="26"/>
      <c r="AJM53" s="26"/>
      <c r="AJN53" s="26"/>
      <c r="AJO53" s="26"/>
      <c r="AJP53" s="26"/>
      <c r="AJQ53" s="26"/>
      <c r="AJR53" s="26"/>
      <c r="AJS53" s="26"/>
      <c r="AJT53" s="26"/>
      <c r="AJU53" s="26"/>
      <c r="AJV53" s="26"/>
      <c r="AJW53" s="26"/>
      <c r="AJX53" s="26"/>
      <c r="AJY53" s="26"/>
      <c r="AJZ53" s="26"/>
      <c r="AKA53" s="26"/>
      <c r="AKB53" s="26"/>
      <c r="AKC53" s="26"/>
      <c r="AKD53" s="26"/>
      <c r="AKE53" s="26"/>
      <c r="AKF53" s="26"/>
      <c r="AKG53" s="26"/>
      <c r="AKH53" s="26"/>
      <c r="AKI53" s="26"/>
      <c r="AKJ53" s="26"/>
      <c r="AKK53" s="26"/>
      <c r="AKL53" s="26"/>
      <c r="AKM53" s="26"/>
      <c r="AKN53" s="26"/>
      <c r="AKO53" s="26"/>
      <c r="AKP53" s="26"/>
      <c r="AKQ53" s="26"/>
      <c r="AKR53" s="26"/>
      <c r="AKS53" s="26"/>
      <c r="AKT53" s="26"/>
      <c r="AKU53" s="26"/>
      <c r="AKV53" s="26"/>
      <c r="AKW53" s="26"/>
      <c r="AKX53" s="26"/>
      <c r="AKY53" s="26"/>
      <c r="AKZ53" s="26"/>
      <c r="ALA53" s="26"/>
      <c r="ALB53" s="26"/>
      <c r="ALC53" s="26"/>
      <c r="ALD53" s="26"/>
      <c r="ALE53" s="26"/>
      <c r="ALF53" s="26"/>
      <c r="ALG53" s="26"/>
      <c r="ALH53" s="26"/>
      <c r="ALI53" s="26"/>
      <c r="ALJ53" s="26"/>
      <c r="ALK53" s="26"/>
      <c r="ALL53" s="26"/>
      <c r="ALM53" s="26"/>
      <c r="ALN53" s="26"/>
      <c r="ALO53" s="26"/>
      <c r="ALP53" s="26"/>
      <c r="ALQ53" s="26"/>
      <c r="ALR53" s="26"/>
      <c r="ALS53" s="26"/>
      <c r="ALT53" s="26"/>
      <c r="ALU53" s="26"/>
      <c r="ALV53" s="26"/>
      <c r="ALW53" s="26"/>
      <c r="ALX53" s="26"/>
      <c r="ALY53" s="26"/>
      <c r="ALZ53" s="26"/>
      <c r="AMA53" s="26"/>
      <c r="AMB53" s="26"/>
      <c r="AMC53" s="26"/>
      <c r="AMD53" s="26"/>
      <c r="AME53" s="26"/>
      <c r="AMF53" s="26"/>
      <c r="AMG53" s="26"/>
      <c r="AMH53" s="26"/>
      <c r="AMI53" s="26"/>
      <c r="AMJ53" s="26"/>
    </row>
    <row r="54" spans="1:1024" s="25" customFormat="1" ht="12.75">
      <c r="A54" s="76" t="s">
        <v>24</v>
      </c>
      <c r="B54" s="259"/>
      <c r="C54" s="260"/>
      <c r="D54" s="268" t="s">
        <v>25</v>
      </c>
      <c r="E54" s="269"/>
      <c r="F54" s="269"/>
      <c r="G54" s="269"/>
      <c r="H54" s="269"/>
      <c r="I54" s="270"/>
    </row>
    <row r="55" spans="1:1024" s="28" customFormat="1" ht="25.5">
      <c r="A55" s="37" t="s">
        <v>350</v>
      </c>
      <c r="B55" s="37" t="s">
        <v>148</v>
      </c>
      <c r="C55" s="37" t="s">
        <v>12</v>
      </c>
      <c r="D55" s="24" t="s">
        <v>149</v>
      </c>
      <c r="E55" s="33" t="s">
        <v>118</v>
      </c>
      <c r="F55" s="35">
        <f>'MEMÓRIA DE CÁLCULO'!H208</f>
        <v>8</v>
      </c>
      <c r="G55" s="35"/>
      <c r="H55" s="36">
        <f t="shared" ref="H55:H56" si="21">ROUND((G55*$I$10)+G55,2)</f>
        <v>0</v>
      </c>
      <c r="I55" s="71">
        <f t="shared" ref="I55:I56" si="22">ROUND(F55*H55,2)</f>
        <v>0</v>
      </c>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c r="KM55" s="26"/>
      <c r="KN55" s="26"/>
      <c r="KO55" s="26"/>
      <c r="KP55" s="26"/>
      <c r="KQ55" s="26"/>
      <c r="KR55" s="26"/>
      <c r="KS55" s="26"/>
      <c r="KT55" s="26"/>
      <c r="KU55" s="26"/>
      <c r="KV55" s="26"/>
      <c r="KW55" s="26"/>
      <c r="KX55" s="26"/>
      <c r="KY55" s="26"/>
      <c r="KZ55" s="26"/>
      <c r="LA55" s="26"/>
      <c r="LB55" s="26"/>
      <c r="LC55" s="26"/>
      <c r="LD55" s="26"/>
      <c r="LE55" s="26"/>
      <c r="LF55" s="26"/>
      <c r="LG55" s="26"/>
      <c r="LH55" s="26"/>
      <c r="LI55" s="26"/>
      <c r="LJ55" s="26"/>
      <c r="LK55" s="26"/>
      <c r="LL55" s="26"/>
      <c r="LM55" s="26"/>
      <c r="LN55" s="26"/>
      <c r="LO55" s="26"/>
      <c r="LP55" s="26"/>
      <c r="LQ55" s="26"/>
      <c r="LR55" s="26"/>
      <c r="LS55" s="26"/>
      <c r="LT55" s="26"/>
      <c r="LU55" s="26"/>
      <c r="LV55" s="26"/>
      <c r="LW55" s="26"/>
      <c r="LX55" s="26"/>
      <c r="LY55" s="26"/>
      <c r="LZ55" s="26"/>
      <c r="MA55" s="26"/>
      <c r="MB55" s="26"/>
      <c r="MC55" s="26"/>
      <c r="MD55" s="26"/>
      <c r="ME55" s="26"/>
      <c r="MF55" s="26"/>
      <c r="MG55" s="26"/>
      <c r="MH55" s="26"/>
      <c r="MI55" s="26"/>
      <c r="MJ55" s="26"/>
      <c r="MK55" s="26"/>
      <c r="ML55" s="26"/>
      <c r="MM55" s="26"/>
      <c r="MN55" s="26"/>
      <c r="MO55" s="26"/>
      <c r="MP55" s="26"/>
      <c r="MQ55" s="26"/>
      <c r="MR55" s="26"/>
      <c r="MS55" s="26"/>
      <c r="MT55" s="26"/>
      <c r="MU55" s="26"/>
      <c r="MV55" s="26"/>
      <c r="MW55" s="26"/>
      <c r="MX55" s="26"/>
      <c r="MY55" s="26"/>
      <c r="MZ55" s="26"/>
      <c r="NA55" s="26"/>
      <c r="NB55" s="26"/>
      <c r="NC55" s="26"/>
      <c r="ND55" s="26"/>
      <c r="NE55" s="26"/>
      <c r="NF55" s="26"/>
      <c r="NG55" s="26"/>
      <c r="NH55" s="26"/>
      <c r="NI55" s="26"/>
      <c r="NJ55" s="26"/>
      <c r="NK55" s="26"/>
      <c r="NL55" s="26"/>
      <c r="NM55" s="26"/>
      <c r="NN55" s="26"/>
      <c r="NO55" s="26"/>
      <c r="NP55" s="26"/>
      <c r="NQ55" s="26"/>
      <c r="NR55" s="26"/>
      <c r="NS55" s="26"/>
      <c r="NT55" s="26"/>
      <c r="NU55" s="26"/>
      <c r="NV55" s="26"/>
      <c r="NW55" s="26"/>
      <c r="NX55" s="26"/>
      <c r="NY55" s="26"/>
      <c r="NZ55" s="26"/>
      <c r="OA55" s="26"/>
      <c r="OB55" s="26"/>
      <c r="OC55" s="26"/>
      <c r="OD55" s="26"/>
      <c r="OE55" s="26"/>
      <c r="OF55" s="26"/>
      <c r="OG55" s="26"/>
      <c r="OH55" s="26"/>
      <c r="OI55" s="26"/>
      <c r="OJ55" s="26"/>
      <c r="OK55" s="26"/>
      <c r="OL55" s="26"/>
      <c r="OM55" s="26"/>
      <c r="ON55" s="26"/>
      <c r="OO55" s="26"/>
      <c r="OP55" s="26"/>
      <c r="OQ55" s="26"/>
      <c r="OR55" s="26"/>
      <c r="OS55" s="26"/>
      <c r="OT55" s="26"/>
      <c r="OU55" s="26"/>
      <c r="OV55" s="26"/>
      <c r="OW55" s="26"/>
      <c r="OX55" s="26"/>
      <c r="OY55" s="26"/>
      <c r="OZ55" s="26"/>
      <c r="PA55" s="26"/>
      <c r="PB55" s="26"/>
      <c r="PC55" s="26"/>
      <c r="PD55" s="26"/>
      <c r="PE55" s="26"/>
      <c r="PF55" s="26"/>
      <c r="PG55" s="26"/>
      <c r="PH55" s="26"/>
      <c r="PI55" s="26"/>
      <c r="PJ55" s="26"/>
      <c r="PK55" s="26"/>
      <c r="PL55" s="26"/>
      <c r="PM55" s="26"/>
      <c r="PN55" s="26"/>
      <c r="PO55" s="26"/>
      <c r="PP55" s="26"/>
      <c r="PQ55" s="26"/>
      <c r="PR55" s="26"/>
      <c r="PS55" s="26"/>
      <c r="PT55" s="26"/>
      <c r="PU55" s="26"/>
      <c r="PV55" s="26"/>
      <c r="PW55" s="26"/>
      <c r="PX55" s="26"/>
      <c r="PY55" s="26"/>
      <c r="PZ55" s="26"/>
      <c r="QA55" s="26"/>
      <c r="QB55" s="26"/>
      <c r="QC55" s="26"/>
      <c r="QD55" s="26"/>
      <c r="QE55" s="26"/>
      <c r="QF55" s="26"/>
      <c r="QG55" s="26"/>
      <c r="QH55" s="26"/>
      <c r="QI55" s="26"/>
      <c r="QJ55" s="26"/>
      <c r="QK55" s="26"/>
      <c r="QL55" s="26"/>
      <c r="QM55" s="26"/>
      <c r="QN55" s="26"/>
      <c r="QO55" s="26"/>
      <c r="QP55" s="26"/>
      <c r="QQ55" s="26"/>
      <c r="QR55" s="26"/>
      <c r="QS55" s="26"/>
      <c r="QT55" s="26"/>
      <c r="QU55" s="26"/>
      <c r="QV55" s="26"/>
      <c r="QW55" s="26"/>
      <c r="QX55" s="26"/>
      <c r="QY55" s="26"/>
      <c r="QZ55" s="26"/>
      <c r="RA55" s="26"/>
      <c r="RB55" s="26"/>
      <c r="RC55" s="26"/>
      <c r="RD55" s="26"/>
      <c r="RE55" s="26"/>
      <c r="RF55" s="26"/>
      <c r="RG55" s="26"/>
      <c r="RH55" s="26"/>
      <c r="RI55" s="26"/>
      <c r="RJ55" s="26"/>
      <c r="RK55" s="26"/>
      <c r="RL55" s="26"/>
      <c r="RM55" s="26"/>
      <c r="RN55" s="26"/>
      <c r="RO55" s="26"/>
      <c r="RP55" s="26"/>
      <c r="RQ55" s="26"/>
      <c r="RR55" s="26"/>
      <c r="RS55" s="26"/>
      <c r="RT55" s="26"/>
      <c r="RU55" s="26"/>
      <c r="RV55" s="26"/>
      <c r="RW55" s="26"/>
      <c r="RX55" s="26"/>
      <c r="RY55" s="26"/>
      <c r="RZ55" s="26"/>
      <c r="SA55" s="26"/>
      <c r="SB55" s="26"/>
      <c r="SC55" s="26"/>
      <c r="SD55" s="26"/>
      <c r="SE55" s="26"/>
      <c r="SF55" s="26"/>
      <c r="SG55" s="26"/>
      <c r="SH55" s="26"/>
      <c r="SI55" s="26"/>
      <c r="SJ55" s="26"/>
      <c r="SK55" s="26"/>
      <c r="SL55" s="26"/>
      <c r="SM55" s="26"/>
      <c r="SN55" s="26"/>
      <c r="SO55" s="26"/>
      <c r="SP55" s="26"/>
      <c r="SQ55" s="26"/>
      <c r="SR55" s="26"/>
      <c r="SS55" s="26"/>
      <c r="ST55" s="26"/>
      <c r="SU55" s="26"/>
      <c r="SV55" s="26"/>
      <c r="SW55" s="26"/>
      <c r="SX55" s="26"/>
      <c r="SY55" s="26"/>
      <c r="SZ55" s="26"/>
      <c r="TA55" s="26"/>
      <c r="TB55" s="26"/>
      <c r="TC55" s="26"/>
      <c r="TD55" s="26"/>
      <c r="TE55" s="26"/>
      <c r="TF55" s="26"/>
      <c r="TG55" s="26"/>
      <c r="TH55" s="26"/>
      <c r="TI55" s="26"/>
      <c r="TJ55" s="26"/>
      <c r="TK55" s="26"/>
      <c r="TL55" s="26"/>
      <c r="TM55" s="26"/>
      <c r="TN55" s="26"/>
      <c r="TO55" s="26"/>
      <c r="TP55" s="26"/>
      <c r="TQ55" s="26"/>
      <c r="TR55" s="26"/>
      <c r="TS55" s="26"/>
      <c r="TT55" s="26"/>
      <c r="TU55" s="26"/>
      <c r="TV55" s="26"/>
      <c r="TW55" s="26"/>
      <c r="TX55" s="26"/>
      <c r="TY55" s="26"/>
      <c r="TZ55" s="26"/>
      <c r="UA55" s="26"/>
      <c r="UB55" s="26"/>
      <c r="UC55" s="26"/>
      <c r="UD55" s="26"/>
      <c r="UE55" s="26"/>
      <c r="UF55" s="26"/>
      <c r="UG55" s="26"/>
      <c r="UH55" s="26"/>
      <c r="UI55" s="26"/>
      <c r="UJ55" s="26"/>
      <c r="UK55" s="26"/>
      <c r="UL55" s="26"/>
      <c r="UM55" s="26"/>
      <c r="UN55" s="26"/>
      <c r="UO55" s="26"/>
      <c r="UP55" s="26"/>
      <c r="UQ55" s="26"/>
      <c r="UR55" s="26"/>
      <c r="US55" s="26"/>
      <c r="UT55" s="26"/>
      <c r="UU55" s="26"/>
      <c r="UV55" s="26"/>
      <c r="UW55" s="26"/>
      <c r="UX55" s="26"/>
      <c r="UY55" s="26"/>
      <c r="UZ55" s="26"/>
      <c r="VA55" s="26"/>
      <c r="VB55" s="26"/>
      <c r="VC55" s="26"/>
      <c r="VD55" s="26"/>
      <c r="VE55" s="26"/>
      <c r="VF55" s="26"/>
      <c r="VG55" s="26"/>
      <c r="VH55" s="26"/>
      <c r="VI55" s="26"/>
      <c r="VJ55" s="26"/>
      <c r="VK55" s="26"/>
      <c r="VL55" s="26"/>
      <c r="VM55" s="26"/>
      <c r="VN55" s="26"/>
      <c r="VO55" s="26"/>
      <c r="VP55" s="26"/>
      <c r="VQ55" s="26"/>
      <c r="VR55" s="26"/>
      <c r="VS55" s="26"/>
      <c r="VT55" s="26"/>
      <c r="VU55" s="26"/>
      <c r="VV55" s="26"/>
      <c r="VW55" s="26"/>
      <c r="VX55" s="26"/>
      <c r="VY55" s="26"/>
      <c r="VZ55" s="26"/>
      <c r="WA55" s="26"/>
      <c r="WB55" s="26"/>
      <c r="WC55" s="26"/>
      <c r="WD55" s="26"/>
      <c r="WE55" s="26"/>
      <c r="WF55" s="26"/>
      <c r="WG55" s="26"/>
      <c r="WH55" s="26"/>
      <c r="WI55" s="26"/>
      <c r="WJ55" s="26"/>
      <c r="WK55" s="26"/>
      <c r="WL55" s="26"/>
      <c r="WM55" s="26"/>
      <c r="WN55" s="26"/>
      <c r="WO55" s="26"/>
      <c r="WP55" s="26"/>
      <c r="WQ55" s="26"/>
      <c r="WR55" s="26"/>
      <c r="WS55" s="26"/>
      <c r="WT55" s="26"/>
      <c r="WU55" s="26"/>
      <c r="WV55" s="26"/>
      <c r="WW55" s="26"/>
      <c r="WX55" s="26"/>
      <c r="WY55" s="26"/>
      <c r="WZ55" s="26"/>
      <c r="XA55" s="26"/>
      <c r="XB55" s="26"/>
      <c r="XC55" s="26"/>
      <c r="XD55" s="26"/>
      <c r="XE55" s="26"/>
      <c r="XF55" s="26"/>
      <c r="XG55" s="26"/>
      <c r="XH55" s="26"/>
      <c r="XI55" s="26"/>
      <c r="XJ55" s="26"/>
      <c r="XK55" s="26"/>
      <c r="XL55" s="26"/>
      <c r="XM55" s="26"/>
      <c r="XN55" s="26"/>
      <c r="XO55" s="26"/>
      <c r="XP55" s="26"/>
      <c r="XQ55" s="26"/>
      <c r="XR55" s="26"/>
      <c r="XS55" s="26"/>
      <c r="XT55" s="26"/>
      <c r="XU55" s="26"/>
      <c r="XV55" s="26"/>
      <c r="XW55" s="26"/>
      <c r="XX55" s="26"/>
      <c r="XY55" s="26"/>
      <c r="XZ55" s="26"/>
      <c r="YA55" s="26"/>
      <c r="YB55" s="26"/>
      <c r="YC55" s="26"/>
      <c r="YD55" s="26"/>
      <c r="YE55" s="26"/>
      <c r="YF55" s="26"/>
      <c r="YG55" s="26"/>
      <c r="YH55" s="26"/>
      <c r="YI55" s="26"/>
      <c r="YJ55" s="26"/>
      <c r="YK55" s="26"/>
      <c r="YL55" s="26"/>
      <c r="YM55" s="26"/>
      <c r="YN55" s="26"/>
      <c r="YO55" s="26"/>
      <c r="YP55" s="26"/>
      <c r="YQ55" s="26"/>
      <c r="YR55" s="26"/>
      <c r="YS55" s="26"/>
      <c r="YT55" s="26"/>
      <c r="YU55" s="26"/>
      <c r="YV55" s="26"/>
      <c r="YW55" s="26"/>
      <c r="YX55" s="26"/>
      <c r="YY55" s="26"/>
      <c r="YZ55" s="26"/>
      <c r="ZA55" s="26"/>
      <c r="ZB55" s="26"/>
      <c r="ZC55" s="26"/>
      <c r="ZD55" s="26"/>
      <c r="ZE55" s="26"/>
      <c r="ZF55" s="26"/>
      <c r="ZG55" s="26"/>
      <c r="ZH55" s="26"/>
      <c r="ZI55" s="26"/>
      <c r="ZJ55" s="26"/>
      <c r="ZK55" s="26"/>
      <c r="ZL55" s="26"/>
      <c r="ZM55" s="26"/>
      <c r="ZN55" s="26"/>
      <c r="ZO55" s="26"/>
      <c r="ZP55" s="26"/>
      <c r="ZQ55" s="26"/>
      <c r="ZR55" s="26"/>
      <c r="ZS55" s="26"/>
      <c r="ZT55" s="26"/>
      <c r="ZU55" s="26"/>
      <c r="ZV55" s="26"/>
      <c r="ZW55" s="26"/>
      <c r="ZX55" s="26"/>
      <c r="ZY55" s="26"/>
      <c r="ZZ55" s="26"/>
      <c r="AAA55" s="26"/>
      <c r="AAB55" s="26"/>
      <c r="AAC55" s="26"/>
      <c r="AAD55" s="26"/>
      <c r="AAE55" s="26"/>
      <c r="AAF55" s="26"/>
      <c r="AAG55" s="26"/>
      <c r="AAH55" s="26"/>
      <c r="AAI55" s="26"/>
      <c r="AAJ55" s="26"/>
      <c r="AAK55" s="26"/>
      <c r="AAL55" s="26"/>
      <c r="AAM55" s="26"/>
      <c r="AAN55" s="26"/>
      <c r="AAO55" s="26"/>
      <c r="AAP55" s="26"/>
      <c r="AAQ55" s="26"/>
      <c r="AAR55" s="26"/>
      <c r="AAS55" s="26"/>
      <c r="AAT55" s="26"/>
      <c r="AAU55" s="26"/>
      <c r="AAV55" s="26"/>
      <c r="AAW55" s="26"/>
      <c r="AAX55" s="26"/>
      <c r="AAY55" s="26"/>
      <c r="AAZ55" s="26"/>
      <c r="ABA55" s="26"/>
      <c r="ABB55" s="26"/>
      <c r="ABC55" s="26"/>
      <c r="ABD55" s="26"/>
      <c r="ABE55" s="26"/>
      <c r="ABF55" s="26"/>
      <c r="ABG55" s="26"/>
      <c r="ABH55" s="26"/>
      <c r="ABI55" s="26"/>
      <c r="ABJ55" s="26"/>
      <c r="ABK55" s="26"/>
      <c r="ABL55" s="26"/>
      <c r="ABM55" s="26"/>
      <c r="ABN55" s="26"/>
      <c r="ABO55" s="26"/>
      <c r="ABP55" s="26"/>
      <c r="ABQ55" s="26"/>
      <c r="ABR55" s="26"/>
      <c r="ABS55" s="26"/>
      <c r="ABT55" s="26"/>
      <c r="ABU55" s="26"/>
      <c r="ABV55" s="26"/>
      <c r="ABW55" s="26"/>
      <c r="ABX55" s="26"/>
      <c r="ABY55" s="26"/>
      <c r="ABZ55" s="26"/>
      <c r="ACA55" s="26"/>
      <c r="ACB55" s="26"/>
      <c r="ACC55" s="26"/>
      <c r="ACD55" s="26"/>
      <c r="ACE55" s="26"/>
      <c r="ACF55" s="26"/>
      <c r="ACG55" s="26"/>
      <c r="ACH55" s="26"/>
      <c r="ACI55" s="26"/>
      <c r="ACJ55" s="26"/>
      <c r="ACK55" s="26"/>
      <c r="ACL55" s="26"/>
      <c r="ACM55" s="26"/>
      <c r="ACN55" s="26"/>
      <c r="ACO55" s="26"/>
      <c r="ACP55" s="26"/>
      <c r="ACQ55" s="26"/>
      <c r="ACR55" s="26"/>
      <c r="ACS55" s="26"/>
      <c r="ACT55" s="26"/>
      <c r="ACU55" s="26"/>
      <c r="ACV55" s="26"/>
      <c r="ACW55" s="26"/>
      <c r="ACX55" s="26"/>
      <c r="ACY55" s="26"/>
      <c r="ACZ55" s="26"/>
      <c r="ADA55" s="26"/>
      <c r="ADB55" s="26"/>
      <c r="ADC55" s="26"/>
      <c r="ADD55" s="26"/>
      <c r="ADE55" s="26"/>
      <c r="ADF55" s="26"/>
      <c r="ADG55" s="26"/>
      <c r="ADH55" s="26"/>
      <c r="ADI55" s="26"/>
      <c r="ADJ55" s="26"/>
      <c r="ADK55" s="26"/>
      <c r="ADL55" s="26"/>
      <c r="ADM55" s="26"/>
      <c r="ADN55" s="26"/>
      <c r="ADO55" s="26"/>
      <c r="ADP55" s="26"/>
      <c r="ADQ55" s="26"/>
      <c r="ADR55" s="26"/>
      <c r="ADS55" s="26"/>
      <c r="ADT55" s="26"/>
      <c r="ADU55" s="26"/>
      <c r="ADV55" s="26"/>
      <c r="ADW55" s="26"/>
      <c r="ADX55" s="26"/>
      <c r="ADY55" s="26"/>
      <c r="ADZ55" s="26"/>
      <c r="AEA55" s="26"/>
      <c r="AEB55" s="26"/>
      <c r="AEC55" s="26"/>
      <c r="AED55" s="26"/>
      <c r="AEE55" s="26"/>
      <c r="AEF55" s="26"/>
      <c r="AEG55" s="26"/>
      <c r="AEH55" s="26"/>
      <c r="AEI55" s="26"/>
      <c r="AEJ55" s="26"/>
      <c r="AEK55" s="26"/>
      <c r="AEL55" s="26"/>
      <c r="AEM55" s="26"/>
      <c r="AEN55" s="26"/>
      <c r="AEO55" s="26"/>
      <c r="AEP55" s="26"/>
      <c r="AEQ55" s="26"/>
      <c r="AER55" s="26"/>
      <c r="AES55" s="26"/>
      <c r="AET55" s="26"/>
      <c r="AEU55" s="26"/>
      <c r="AEV55" s="26"/>
      <c r="AEW55" s="26"/>
      <c r="AEX55" s="26"/>
      <c r="AEY55" s="26"/>
      <c r="AEZ55" s="26"/>
      <c r="AFA55" s="26"/>
      <c r="AFB55" s="26"/>
      <c r="AFC55" s="26"/>
      <c r="AFD55" s="26"/>
      <c r="AFE55" s="26"/>
      <c r="AFF55" s="26"/>
      <c r="AFG55" s="26"/>
      <c r="AFH55" s="26"/>
      <c r="AFI55" s="26"/>
      <c r="AFJ55" s="26"/>
      <c r="AFK55" s="26"/>
      <c r="AFL55" s="26"/>
      <c r="AFM55" s="26"/>
      <c r="AFN55" s="26"/>
      <c r="AFO55" s="26"/>
      <c r="AFP55" s="26"/>
      <c r="AFQ55" s="26"/>
      <c r="AFR55" s="26"/>
      <c r="AFS55" s="26"/>
      <c r="AFT55" s="26"/>
      <c r="AFU55" s="26"/>
      <c r="AFV55" s="26"/>
      <c r="AFW55" s="26"/>
      <c r="AFX55" s="26"/>
      <c r="AFY55" s="26"/>
      <c r="AFZ55" s="26"/>
      <c r="AGA55" s="26"/>
      <c r="AGB55" s="26"/>
      <c r="AGC55" s="26"/>
      <c r="AGD55" s="26"/>
      <c r="AGE55" s="26"/>
      <c r="AGF55" s="26"/>
      <c r="AGG55" s="26"/>
      <c r="AGH55" s="26"/>
      <c r="AGI55" s="26"/>
      <c r="AGJ55" s="26"/>
      <c r="AGK55" s="26"/>
      <c r="AGL55" s="26"/>
      <c r="AGM55" s="26"/>
      <c r="AGN55" s="26"/>
      <c r="AGO55" s="26"/>
      <c r="AGP55" s="26"/>
      <c r="AGQ55" s="26"/>
      <c r="AGR55" s="26"/>
      <c r="AGS55" s="26"/>
      <c r="AGT55" s="26"/>
      <c r="AGU55" s="26"/>
      <c r="AGV55" s="26"/>
      <c r="AGW55" s="26"/>
      <c r="AGX55" s="26"/>
      <c r="AGY55" s="26"/>
      <c r="AGZ55" s="26"/>
      <c r="AHA55" s="26"/>
      <c r="AHB55" s="26"/>
      <c r="AHC55" s="26"/>
      <c r="AHD55" s="26"/>
      <c r="AHE55" s="26"/>
      <c r="AHF55" s="26"/>
      <c r="AHG55" s="26"/>
      <c r="AHH55" s="26"/>
      <c r="AHI55" s="26"/>
      <c r="AHJ55" s="26"/>
      <c r="AHK55" s="26"/>
      <c r="AHL55" s="26"/>
      <c r="AHM55" s="26"/>
      <c r="AHN55" s="26"/>
      <c r="AHO55" s="26"/>
      <c r="AHP55" s="26"/>
      <c r="AHQ55" s="26"/>
      <c r="AHR55" s="26"/>
      <c r="AHS55" s="26"/>
      <c r="AHT55" s="26"/>
      <c r="AHU55" s="26"/>
      <c r="AHV55" s="26"/>
      <c r="AHW55" s="26"/>
      <c r="AHX55" s="26"/>
      <c r="AHY55" s="26"/>
      <c r="AHZ55" s="26"/>
      <c r="AIA55" s="26"/>
      <c r="AIB55" s="26"/>
      <c r="AIC55" s="26"/>
      <c r="AID55" s="26"/>
      <c r="AIE55" s="26"/>
      <c r="AIF55" s="26"/>
      <c r="AIG55" s="26"/>
      <c r="AIH55" s="26"/>
      <c r="AII55" s="26"/>
      <c r="AIJ55" s="26"/>
      <c r="AIK55" s="26"/>
      <c r="AIL55" s="26"/>
      <c r="AIM55" s="26"/>
      <c r="AIN55" s="26"/>
      <c r="AIO55" s="26"/>
      <c r="AIP55" s="26"/>
      <c r="AIQ55" s="26"/>
      <c r="AIR55" s="26"/>
      <c r="AIS55" s="26"/>
      <c r="AIT55" s="26"/>
      <c r="AIU55" s="26"/>
      <c r="AIV55" s="26"/>
      <c r="AIW55" s="26"/>
      <c r="AIX55" s="26"/>
      <c r="AIY55" s="26"/>
      <c r="AIZ55" s="26"/>
      <c r="AJA55" s="26"/>
      <c r="AJB55" s="26"/>
      <c r="AJC55" s="26"/>
      <c r="AJD55" s="26"/>
      <c r="AJE55" s="26"/>
      <c r="AJF55" s="26"/>
      <c r="AJG55" s="26"/>
      <c r="AJH55" s="26"/>
      <c r="AJI55" s="26"/>
      <c r="AJJ55" s="26"/>
      <c r="AJK55" s="26"/>
      <c r="AJL55" s="26"/>
      <c r="AJM55" s="26"/>
      <c r="AJN55" s="26"/>
      <c r="AJO55" s="26"/>
      <c r="AJP55" s="26"/>
      <c r="AJQ55" s="26"/>
      <c r="AJR55" s="26"/>
      <c r="AJS55" s="26"/>
      <c r="AJT55" s="26"/>
      <c r="AJU55" s="26"/>
      <c r="AJV55" s="26"/>
      <c r="AJW55" s="26"/>
      <c r="AJX55" s="26"/>
      <c r="AJY55" s="26"/>
      <c r="AJZ55" s="26"/>
      <c r="AKA55" s="26"/>
      <c r="AKB55" s="26"/>
      <c r="AKC55" s="26"/>
      <c r="AKD55" s="26"/>
      <c r="AKE55" s="26"/>
      <c r="AKF55" s="26"/>
      <c r="AKG55" s="26"/>
      <c r="AKH55" s="26"/>
      <c r="AKI55" s="26"/>
      <c r="AKJ55" s="26"/>
      <c r="AKK55" s="26"/>
      <c r="AKL55" s="26"/>
      <c r="AKM55" s="26"/>
      <c r="AKN55" s="26"/>
      <c r="AKO55" s="26"/>
      <c r="AKP55" s="26"/>
      <c r="AKQ55" s="26"/>
      <c r="AKR55" s="26"/>
      <c r="AKS55" s="26"/>
      <c r="AKT55" s="26"/>
      <c r="AKU55" s="26"/>
      <c r="AKV55" s="26"/>
      <c r="AKW55" s="26"/>
      <c r="AKX55" s="26"/>
      <c r="AKY55" s="26"/>
      <c r="AKZ55" s="26"/>
      <c r="ALA55" s="26"/>
      <c r="ALB55" s="26"/>
      <c r="ALC55" s="26"/>
      <c r="ALD55" s="26"/>
      <c r="ALE55" s="26"/>
      <c r="ALF55" s="26"/>
      <c r="ALG55" s="26"/>
      <c r="ALH55" s="26"/>
      <c r="ALI55" s="26"/>
      <c r="ALJ55" s="26"/>
      <c r="ALK55" s="26"/>
      <c r="ALL55" s="26"/>
      <c r="ALM55" s="26"/>
      <c r="ALN55" s="26"/>
      <c r="ALO55" s="26"/>
      <c r="ALP55" s="26"/>
      <c r="ALQ55" s="26"/>
      <c r="ALR55" s="26"/>
      <c r="ALS55" s="26"/>
      <c r="ALT55" s="26"/>
      <c r="ALU55" s="26"/>
      <c r="ALV55" s="26"/>
      <c r="ALW55" s="26"/>
      <c r="ALX55" s="26"/>
      <c r="ALY55" s="26"/>
      <c r="ALZ55" s="26"/>
      <c r="AMA55" s="26"/>
      <c r="AMB55" s="26"/>
      <c r="AMC55" s="26"/>
      <c r="AMD55" s="26"/>
      <c r="AME55" s="26"/>
      <c r="AMF55" s="26"/>
      <c r="AMG55" s="26"/>
      <c r="AMH55" s="26"/>
      <c r="AMI55" s="26"/>
      <c r="AMJ55" s="26"/>
    </row>
    <row r="56" spans="1:1024" s="28" customFormat="1" ht="25.5">
      <c r="A56" s="168" t="s">
        <v>351</v>
      </c>
      <c r="B56" s="168" t="s">
        <v>792</v>
      </c>
      <c r="C56" s="168" t="s">
        <v>181</v>
      </c>
      <c r="D56" s="30" t="s">
        <v>257</v>
      </c>
      <c r="E56" s="168" t="s">
        <v>15</v>
      </c>
      <c r="F56" s="35">
        <f>'MEMÓRIA DE CÁLCULO'!H218</f>
        <v>9.2600000000000016</v>
      </c>
      <c r="G56" s="35"/>
      <c r="H56" s="36">
        <f t="shared" si="21"/>
        <v>0</v>
      </c>
      <c r="I56" s="71">
        <f t="shared" si="22"/>
        <v>0</v>
      </c>
      <c r="J56" s="16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26"/>
      <c r="JH56" s="26"/>
      <c r="JI56" s="26"/>
      <c r="JJ56" s="26"/>
      <c r="JK56" s="26"/>
      <c r="JL56" s="26"/>
      <c r="JM56" s="26"/>
      <c r="JN56" s="26"/>
      <c r="JO56" s="26"/>
      <c r="JP56" s="26"/>
      <c r="JQ56" s="26"/>
      <c r="JR56" s="26"/>
      <c r="JS56" s="26"/>
      <c r="JT56" s="26"/>
      <c r="JU56" s="26"/>
      <c r="JV56" s="26"/>
      <c r="JW56" s="26"/>
      <c r="JX56" s="26"/>
      <c r="JY56" s="26"/>
      <c r="JZ56" s="26"/>
      <c r="KA56" s="26"/>
      <c r="KB56" s="26"/>
      <c r="KC56" s="26"/>
      <c r="KD56" s="26"/>
      <c r="KE56" s="26"/>
      <c r="KF56" s="26"/>
      <c r="KG56" s="26"/>
      <c r="KH56" s="26"/>
      <c r="KI56" s="26"/>
      <c r="KJ56" s="26"/>
      <c r="KK56" s="26"/>
      <c r="KL56" s="26"/>
      <c r="KM56" s="26"/>
      <c r="KN56" s="26"/>
      <c r="KO56" s="26"/>
      <c r="KP56" s="26"/>
      <c r="KQ56" s="26"/>
      <c r="KR56" s="26"/>
      <c r="KS56" s="26"/>
      <c r="KT56" s="26"/>
      <c r="KU56" s="26"/>
      <c r="KV56" s="26"/>
      <c r="KW56" s="26"/>
      <c r="KX56" s="26"/>
      <c r="KY56" s="26"/>
      <c r="KZ56" s="26"/>
      <c r="LA56" s="26"/>
      <c r="LB56" s="26"/>
      <c r="LC56" s="26"/>
      <c r="LD56" s="26"/>
      <c r="LE56" s="26"/>
      <c r="LF56" s="26"/>
      <c r="LG56" s="26"/>
      <c r="LH56" s="26"/>
      <c r="LI56" s="26"/>
      <c r="LJ56" s="26"/>
      <c r="LK56" s="26"/>
      <c r="LL56" s="26"/>
      <c r="LM56" s="26"/>
      <c r="LN56" s="26"/>
      <c r="LO56" s="26"/>
      <c r="LP56" s="26"/>
      <c r="LQ56" s="26"/>
      <c r="LR56" s="26"/>
      <c r="LS56" s="26"/>
      <c r="LT56" s="26"/>
      <c r="LU56" s="26"/>
      <c r="LV56" s="26"/>
      <c r="LW56" s="26"/>
      <c r="LX56" s="26"/>
      <c r="LY56" s="26"/>
      <c r="LZ56" s="26"/>
      <c r="MA56" s="26"/>
      <c r="MB56" s="26"/>
      <c r="MC56" s="26"/>
      <c r="MD56" s="26"/>
      <c r="ME56" s="26"/>
      <c r="MF56" s="26"/>
      <c r="MG56" s="26"/>
      <c r="MH56" s="26"/>
      <c r="MI56" s="26"/>
      <c r="MJ56" s="26"/>
      <c r="MK56" s="26"/>
      <c r="ML56" s="26"/>
      <c r="MM56" s="26"/>
      <c r="MN56" s="26"/>
      <c r="MO56" s="26"/>
      <c r="MP56" s="26"/>
      <c r="MQ56" s="26"/>
      <c r="MR56" s="26"/>
      <c r="MS56" s="26"/>
      <c r="MT56" s="26"/>
      <c r="MU56" s="26"/>
      <c r="MV56" s="26"/>
      <c r="MW56" s="26"/>
      <c r="MX56" s="26"/>
      <c r="MY56" s="26"/>
      <c r="MZ56" s="26"/>
      <c r="NA56" s="26"/>
      <c r="NB56" s="26"/>
      <c r="NC56" s="26"/>
      <c r="ND56" s="26"/>
      <c r="NE56" s="26"/>
      <c r="NF56" s="26"/>
      <c r="NG56" s="26"/>
      <c r="NH56" s="26"/>
      <c r="NI56" s="26"/>
      <c r="NJ56" s="26"/>
      <c r="NK56" s="26"/>
      <c r="NL56" s="26"/>
      <c r="NM56" s="26"/>
      <c r="NN56" s="26"/>
      <c r="NO56" s="26"/>
      <c r="NP56" s="26"/>
      <c r="NQ56" s="26"/>
      <c r="NR56" s="26"/>
      <c r="NS56" s="26"/>
      <c r="NT56" s="26"/>
      <c r="NU56" s="26"/>
      <c r="NV56" s="26"/>
      <c r="NW56" s="26"/>
      <c r="NX56" s="26"/>
      <c r="NY56" s="26"/>
      <c r="NZ56" s="26"/>
      <c r="OA56" s="26"/>
      <c r="OB56" s="26"/>
      <c r="OC56" s="26"/>
      <c r="OD56" s="26"/>
      <c r="OE56" s="26"/>
      <c r="OF56" s="26"/>
      <c r="OG56" s="26"/>
      <c r="OH56" s="26"/>
      <c r="OI56" s="26"/>
      <c r="OJ56" s="26"/>
      <c r="OK56" s="26"/>
      <c r="OL56" s="26"/>
      <c r="OM56" s="26"/>
      <c r="ON56" s="26"/>
      <c r="OO56" s="26"/>
      <c r="OP56" s="26"/>
      <c r="OQ56" s="26"/>
      <c r="OR56" s="26"/>
      <c r="OS56" s="26"/>
      <c r="OT56" s="26"/>
      <c r="OU56" s="26"/>
      <c r="OV56" s="26"/>
      <c r="OW56" s="26"/>
      <c r="OX56" s="26"/>
      <c r="OY56" s="26"/>
      <c r="OZ56" s="26"/>
      <c r="PA56" s="26"/>
      <c r="PB56" s="26"/>
      <c r="PC56" s="26"/>
      <c r="PD56" s="26"/>
      <c r="PE56" s="26"/>
      <c r="PF56" s="26"/>
      <c r="PG56" s="26"/>
      <c r="PH56" s="26"/>
      <c r="PI56" s="26"/>
      <c r="PJ56" s="26"/>
      <c r="PK56" s="26"/>
      <c r="PL56" s="26"/>
      <c r="PM56" s="26"/>
      <c r="PN56" s="26"/>
      <c r="PO56" s="26"/>
      <c r="PP56" s="26"/>
      <c r="PQ56" s="26"/>
      <c r="PR56" s="26"/>
      <c r="PS56" s="26"/>
      <c r="PT56" s="26"/>
      <c r="PU56" s="26"/>
      <c r="PV56" s="26"/>
      <c r="PW56" s="26"/>
      <c r="PX56" s="26"/>
      <c r="PY56" s="26"/>
      <c r="PZ56" s="26"/>
      <c r="QA56" s="26"/>
      <c r="QB56" s="26"/>
      <c r="QC56" s="26"/>
      <c r="QD56" s="26"/>
      <c r="QE56" s="26"/>
      <c r="QF56" s="26"/>
      <c r="QG56" s="26"/>
      <c r="QH56" s="26"/>
      <c r="QI56" s="26"/>
      <c r="QJ56" s="26"/>
      <c r="QK56" s="26"/>
      <c r="QL56" s="26"/>
      <c r="QM56" s="26"/>
      <c r="QN56" s="26"/>
      <c r="QO56" s="26"/>
      <c r="QP56" s="26"/>
      <c r="QQ56" s="26"/>
      <c r="QR56" s="26"/>
      <c r="QS56" s="26"/>
      <c r="QT56" s="26"/>
      <c r="QU56" s="26"/>
      <c r="QV56" s="26"/>
      <c r="QW56" s="26"/>
      <c r="QX56" s="26"/>
      <c r="QY56" s="26"/>
      <c r="QZ56" s="26"/>
      <c r="RA56" s="26"/>
      <c r="RB56" s="26"/>
      <c r="RC56" s="26"/>
      <c r="RD56" s="26"/>
      <c r="RE56" s="26"/>
      <c r="RF56" s="26"/>
      <c r="RG56" s="26"/>
      <c r="RH56" s="26"/>
      <c r="RI56" s="26"/>
      <c r="RJ56" s="26"/>
      <c r="RK56" s="26"/>
      <c r="RL56" s="26"/>
      <c r="RM56" s="26"/>
      <c r="RN56" s="26"/>
      <c r="RO56" s="26"/>
      <c r="RP56" s="26"/>
      <c r="RQ56" s="26"/>
      <c r="RR56" s="26"/>
      <c r="RS56" s="26"/>
      <c r="RT56" s="26"/>
      <c r="RU56" s="26"/>
      <c r="RV56" s="26"/>
      <c r="RW56" s="26"/>
      <c r="RX56" s="26"/>
      <c r="RY56" s="26"/>
      <c r="RZ56" s="26"/>
      <c r="SA56" s="26"/>
      <c r="SB56" s="26"/>
      <c r="SC56" s="26"/>
      <c r="SD56" s="26"/>
      <c r="SE56" s="26"/>
      <c r="SF56" s="26"/>
      <c r="SG56" s="26"/>
      <c r="SH56" s="26"/>
      <c r="SI56" s="26"/>
      <c r="SJ56" s="26"/>
      <c r="SK56" s="26"/>
      <c r="SL56" s="26"/>
      <c r="SM56" s="26"/>
      <c r="SN56" s="26"/>
      <c r="SO56" s="26"/>
      <c r="SP56" s="26"/>
      <c r="SQ56" s="26"/>
      <c r="SR56" s="26"/>
      <c r="SS56" s="26"/>
      <c r="ST56" s="26"/>
      <c r="SU56" s="26"/>
      <c r="SV56" s="26"/>
      <c r="SW56" s="26"/>
      <c r="SX56" s="26"/>
      <c r="SY56" s="26"/>
      <c r="SZ56" s="26"/>
      <c r="TA56" s="26"/>
      <c r="TB56" s="26"/>
      <c r="TC56" s="26"/>
      <c r="TD56" s="26"/>
      <c r="TE56" s="26"/>
      <c r="TF56" s="26"/>
      <c r="TG56" s="26"/>
      <c r="TH56" s="26"/>
      <c r="TI56" s="26"/>
      <c r="TJ56" s="26"/>
      <c r="TK56" s="26"/>
      <c r="TL56" s="26"/>
      <c r="TM56" s="26"/>
      <c r="TN56" s="26"/>
      <c r="TO56" s="26"/>
      <c r="TP56" s="26"/>
      <c r="TQ56" s="26"/>
      <c r="TR56" s="26"/>
      <c r="TS56" s="26"/>
      <c r="TT56" s="26"/>
      <c r="TU56" s="26"/>
      <c r="TV56" s="26"/>
      <c r="TW56" s="26"/>
      <c r="TX56" s="26"/>
      <c r="TY56" s="26"/>
      <c r="TZ56" s="26"/>
      <c r="UA56" s="26"/>
      <c r="UB56" s="26"/>
      <c r="UC56" s="26"/>
      <c r="UD56" s="26"/>
      <c r="UE56" s="26"/>
      <c r="UF56" s="26"/>
      <c r="UG56" s="26"/>
      <c r="UH56" s="26"/>
      <c r="UI56" s="26"/>
      <c r="UJ56" s="26"/>
      <c r="UK56" s="26"/>
      <c r="UL56" s="26"/>
      <c r="UM56" s="26"/>
      <c r="UN56" s="26"/>
      <c r="UO56" s="26"/>
      <c r="UP56" s="26"/>
      <c r="UQ56" s="26"/>
      <c r="UR56" s="26"/>
      <c r="US56" s="26"/>
      <c r="UT56" s="26"/>
      <c r="UU56" s="26"/>
      <c r="UV56" s="26"/>
      <c r="UW56" s="26"/>
      <c r="UX56" s="26"/>
      <c r="UY56" s="26"/>
      <c r="UZ56" s="26"/>
      <c r="VA56" s="26"/>
      <c r="VB56" s="26"/>
      <c r="VC56" s="26"/>
      <c r="VD56" s="26"/>
      <c r="VE56" s="26"/>
      <c r="VF56" s="26"/>
      <c r="VG56" s="26"/>
      <c r="VH56" s="26"/>
      <c r="VI56" s="26"/>
      <c r="VJ56" s="26"/>
      <c r="VK56" s="26"/>
      <c r="VL56" s="26"/>
      <c r="VM56" s="26"/>
      <c r="VN56" s="26"/>
      <c r="VO56" s="26"/>
      <c r="VP56" s="26"/>
      <c r="VQ56" s="26"/>
      <c r="VR56" s="26"/>
      <c r="VS56" s="26"/>
      <c r="VT56" s="26"/>
      <c r="VU56" s="26"/>
      <c r="VV56" s="26"/>
      <c r="VW56" s="26"/>
      <c r="VX56" s="26"/>
      <c r="VY56" s="26"/>
      <c r="VZ56" s="26"/>
      <c r="WA56" s="26"/>
      <c r="WB56" s="26"/>
      <c r="WC56" s="26"/>
      <c r="WD56" s="26"/>
      <c r="WE56" s="26"/>
      <c r="WF56" s="26"/>
      <c r="WG56" s="26"/>
      <c r="WH56" s="26"/>
      <c r="WI56" s="26"/>
      <c r="WJ56" s="26"/>
      <c r="WK56" s="26"/>
      <c r="WL56" s="26"/>
      <c r="WM56" s="26"/>
      <c r="WN56" s="26"/>
      <c r="WO56" s="26"/>
      <c r="WP56" s="26"/>
      <c r="WQ56" s="26"/>
      <c r="WR56" s="26"/>
      <c r="WS56" s="26"/>
      <c r="WT56" s="26"/>
      <c r="WU56" s="26"/>
      <c r="WV56" s="26"/>
      <c r="WW56" s="26"/>
      <c r="WX56" s="26"/>
      <c r="WY56" s="26"/>
      <c r="WZ56" s="26"/>
      <c r="XA56" s="26"/>
      <c r="XB56" s="26"/>
      <c r="XC56" s="26"/>
      <c r="XD56" s="26"/>
      <c r="XE56" s="26"/>
      <c r="XF56" s="26"/>
      <c r="XG56" s="26"/>
      <c r="XH56" s="26"/>
      <c r="XI56" s="26"/>
      <c r="XJ56" s="26"/>
      <c r="XK56" s="26"/>
      <c r="XL56" s="26"/>
      <c r="XM56" s="26"/>
      <c r="XN56" s="26"/>
      <c r="XO56" s="26"/>
      <c r="XP56" s="26"/>
      <c r="XQ56" s="26"/>
      <c r="XR56" s="26"/>
      <c r="XS56" s="26"/>
      <c r="XT56" s="26"/>
      <c r="XU56" s="26"/>
      <c r="XV56" s="26"/>
      <c r="XW56" s="26"/>
      <c r="XX56" s="26"/>
      <c r="XY56" s="26"/>
      <c r="XZ56" s="26"/>
      <c r="YA56" s="26"/>
      <c r="YB56" s="26"/>
      <c r="YC56" s="26"/>
      <c r="YD56" s="26"/>
      <c r="YE56" s="26"/>
      <c r="YF56" s="26"/>
      <c r="YG56" s="26"/>
      <c r="YH56" s="26"/>
      <c r="YI56" s="26"/>
      <c r="YJ56" s="26"/>
      <c r="YK56" s="26"/>
      <c r="YL56" s="26"/>
      <c r="YM56" s="26"/>
      <c r="YN56" s="26"/>
      <c r="YO56" s="26"/>
      <c r="YP56" s="26"/>
      <c r="YQ56" s="26"/>
      <c r="YR56" s="26"/>
      <c r="YS56" s="26"/>
      <c r="YT56" s="26"/>
      <c r="YU56" s="26"/>
      <c r="YV56" s="26"/>
      <c r="YW56" s="26"/>
      <c r="YX56" s="26"/>
      <c r="YY56" s="26"/>
      <c r="YZ56" s="26"/>
      <c r="ZA56" s="26"/>
      <c r="ZB56" s="26"/>
      <c r="ZC56" s="26"/>
      <c r="ZD56" s="26"/>
      <c r="ZE56" s="26"/>
      <c r="ZF56" s="26"/>
      <c r="ZG56" s="26"/>
      <c r="ZH56" s="26"/>
      <c r="ZI56" s="26"/>
      <c r="ZJ56" s="26"/>
      <c r="ZK56" s="26"/>
      <c r="ZL56" s="26"/>
      <c r="ZM56" s="26"/>
      <c r="ZN56" s="26"/>
      <c r="ZO56" s="26"/>
      <c r="ZP56" s="26"/>
      <c r="ZQ56" s="26"/>
      <c r="ZR56" s="26"/>
      <c r="ZS56" s="26"/>
      <c r="ZT56" s="26"/>
      <c r="ZU56" s="26"/>
      <c r="ZV56" s="26"/>
      <c r="ZW56" s="26"/>
      <c r="ZX56" s="26"/>
      <c r="ZY56" s="26"/>
      <c r="ZZ56" s="26"/>
      <c r="AAA56" s="26"/>
      <c r="AAB56" s="26"/>
      <c r="AAC56" s="26"/>
      <c r="AAD56" s="26"/>
      <c r="AAE56" s="26"/>
      <c r="AAF56" s="26"/>
      <c r="AAG56" s="26"/>
      <c r="AAH56" s="26"/>
      <c r="AAI56" s="26"/>
      <c r="AAJ56" s="26"/>
      <c r="AAK56" s="26"/>
      <c r="AAL56" s="26"/>
      <c r="AAM56" s="26"/>
      <c r="AAN56" s="26"/>
      <c r="AAO56" s="26"/>
      <c r="AAP56" s="26"/>
      <c r="AAQ56" s="26"/>
      <c r="AAR56" s="26"/>
      <c r="AAS56" s="26"/>
      <c r="AAT56" s="26"/>
      <c r="AAU56" s="26"/>
      <c r="AAV56" s="26"/>
      <c r="AAW56" s="26"/>
      <c r="AAX56" s="26"/>
      <c r="AAY56" s="26"/>
      <c r="AAZ56" s="26"/>
      <c r="ABA56" s="26"/>
      <c r="ABB56" s="26"/>
      <c r="ABC56" s="26"/>
      <c r="ABD56" s="26"/>
      <c r="ABE56" s="26"/>
      <c r="ABF56" s="26"/>
      <c r="ABG56" s="26"/>
      <c r="ABH56" s="26"/>
      <c r="ABI56" s="26"/>
      <c r="ABJ56" s="26"/>
      <c r="ABK56" s="26"/>
      <c r="ABL56" s="26"/>
      <c r="ABM56" s="26"/>
      <c r="ABN56" s="26"/>
      <c r="ABO56" s="26"/>
      <c r="ABP56" s="26"/>
      <c r="ABQ56" s="26"/>
      <c r="ABR56" s="26"/>
      <c r="ABS56" s="26"/>
      <c r="ABT56" s="26"/>
      <c r="ABU56" s="26"/>
      <c r="ABV56" s="26"/>
      <c r="ABW56" s="26"/>
      <c r="ABX56" s="26"/>
      <c r="ABY56" s="26"/>
      <c r="ABZ56" s="26"/>
      <c r="ACA56" s="26"/>
      <c r="ACB56" s="26"/>
      <c r="ACC56" s="26"/>
      <c r="ACD56" s="26"/>
      <c r="ACE56" s="26"/>
      <c r="ACF56" s="26"/>
      <c r="ACG56" s="26"/>
      <c r="ACH56" s="26"/>
      <c r="ACI56" s="26"/>
      <c r="ACJ56" s="26"/>
      <c r="ACK56" s="26"/>
      <c r="ACL56" s="26"/>
      <c r="ACM56" s="26"/>
      <c r="ACN56" s="26"/>
      <c r="ACO56" s="26"/>
      <c r="ACP56" s="26"/>
      <c r="ACQ56" s="26"/>
      <c r="ACR56" s="26"/>
      <c r="ACS56" s="26"/>
      <c r="ACT56" s="26"/>
      <c r="ACU56" s="26"/>
      <c r="ACV56" s="26"/>
      <c r="ACW56" s="26"/>
      <c r="ACX56" s="26"/>
      <c r="ACY56" s="26"/>
      <c r="ACZ56" s="26"/>
      <c r="ADA56" s="26"/>
      <c r="ADB56" s="26"/>
      <c r="ADC56" s="26"/>
      <c r="ADD56" s="26"/>
      <c r="ADE56" s="26"/>
      <c r="ADF56" s="26"/>
      <c r="ADG56" s="26"/>
      <c r="ADH56" s="26"/>
      <c r="ADI56" s="26"/>
      <c r="ADJ56" s="26"/>
      <c r="ADK56" s="26"/>
      <c r="ADL56" s="26"/>
      <c r="ADM56" s="26"/>
      <c r="ADN56" s="26"/>
      <c r="ADO56" s="26"/>
      <c r="ADP56" s="26"/>
      <c r="ADQ56" s="26"/>
      <c r="ADR56" s="26"/>
      <c r="ADS56" s="26"/>
      <c r="ADT56" s="26"/>
      <c r="ADU56" s="26"/>
      <c r="ADV56" s="26"/>
      <c r="ADW56" s="26"/>
      <c r="ADX56" s="26"/>
      <c r="ADY56" s="26"/>
      <c r="ADZ56" s="26"/>
      <c r="AEA56" s="26"/>
      <c r="AEB56" s="26"/>
      <c r="AEC56" s="26"/>
      <c r="AED56" s="26"/>
      <c r="AEE56" s="26"/>
      <c r="AEF56" s="26"/>
      <c r="AEG56" s="26"/>
      <c r="AEH56" s="26"/>
      <c r="AEI56" s="26"/>
      <c r="AEJ56" s="26"/>
      <c r="AEK56" s="26"/>
      <c r="AEL56" s="26"/>
      <c r="AEM56" s="26"/>
      <c r="AEN56" s="26"/>
      <c r="AEO56" s="26"/>
      <c r="AEP56" s="26"/>
      <c r="AEQ56" s="26"/>
      <c r="AER56" s="26"/>
      <c r="AES56" s="26"/>
      <c r="AET56" s="26"/>
      <c r="AEU56" s="26"/>
      <c r="AEV56" s="26"/>
      <c r="AEW56" s="26"/>
      <c r="AEX56" s="26"/>
      <c r="AEY56" s="26"/>
      <c r="AEZ56" s="26"/>
      <c r="AFA56" s="26"/>
      <c r="AFB56" s="26"/>
      <c r="AFC56" s="26"/>
      <c r="AFD56" s="26"/>
      <c r="AFE56" s="26"/>
      <c r="AFF56" s="26"/>
      <c r="AFG56" s="26"/>
      <c r="AFH56" s="26"/>
      <c r="AFI56" s="26"/>
      <c r="AFJ56" s="26"/>
      <c r="AFK56" s="26"/>
      <c r="AFL56" s="26"/>
      <c r="AFM56" s="26"/>
      <c r="AFN56" s="26"/>
      <c r="AFO56" s="26"/>
      <c r="AFP56" s="26"/>
      <c r="AFQ56" s="26"/>
      <c r="AFR56" s="26"/>
      <c r="AFS56" s="26"/>
      <c r="AFT56" s="26"/>
      <c r="AFU56" s="26"/>
      <c r="AFV56" s="26"/>
      <c r="AFW56" s="26"/>
      <c r="AFX56" s="26"/>
      <c r="AFY56" s="26"/>
      <c r="AFZ56" s="26"/>
      <c r="AGA56" s="26"/>
      <c r="AGB56" s="26"/>
      <c r="AGC56" s="26"/>
      <c r="AGD56" s="26"/>
      <c r="AGE56" s="26"/>
      <c r="AGF56" s="26"/>
      <c r="AGG56" s="26"/>
      <c r="AGH56" s="26"/>
      <c r="AGI56" s="26"/>
      <c r="AGJ56" s="26"/>
      <c r="AGK56" s="26"/>
      <c r="AGL56" s="26"/>
      <c r="AGM56" s="26"/>
      <c r="AGN56" s="26"/>
      <c r="AGO56" s="26"/>
      <c r="AGP56" s="26"/>
      <c r="AGQ56" s="26"/>
      <c r="AGR56" s="26"/>
      <c r="AGS56" s="26"/>
      <c r="AGT56" s="26"/>
      <c r="AGU56" s="26"/>
      <c r="AGV56" s="26"/>
      <c r="AGW56" s="26"/>
      <c r="AGX56" s="26"/>
      <c r="AGY56" s="26"/>
      <c r="AGZ56" s="26"/>
      <c r="AHA56" s="26"/>
      <c r="AHB56" s="26"/>
      <c r="AHC56" s="26"/>
      <c r="AHD56" s="26"/>
      <c r="AHE56" s="26"/>
      <c r="AHF56" s="26"/>
      <c r="AHG56" s="26"/>
      <c r="AHH56" s="26"/>
      <c r="AHI56" s="26"/>
      <c r="AHJ56" s="26"/>
      <c r="AHK56" s="26"/>
      <c r="AHL56" s="26"/>
      <c r="AHM56" s="26"/>
      <c r="AHN56" s="26"/>
      <c r="AHO56" s="26"/>
      <c r="AHP56" s="26"/>
      <c r="AHQ56" s="26"/>
      <c r="AHR56" s="26"/>
      <c r="AHS56" s="26"/>
      <c r="AHT56" s="26"/>
      <c r="AHU56" s="26"/>
      <c r="AHV56" s="26"/>
      <c r="AHW56" s="26"/>
      <c r="AHX56" s="26"/>
      <c r="AHY56" s="26"/>
      <c r="AHZ56" s="26"/>
      <c r="AIA56" s="26"/>
      <c r="AIB56" s="26"/>
      <c r="AIC56" s="26"/>
      <c r="AID56" s="26"/>
      <c r="AIE56" s="26"/>
      <c r="AIF56" s="26"/>
      <c r="AIG56" s="26"/>
      <c r="AIH56" s="26"/>
      <c r="AII56" s="26"/>
      <c r="AIJ56" s="26"/>
      <c r="AIK56" s="26"/>
      <c r="AIL56" s="26"/>
      <c r="AIM56" s="26"/>
      <c r="AIN56" s="26"/>
      <c r="AIO56" s="26"/>
      <c r="AIP56" s="26"/>
      <c r="AIQ56" s="26"/>
      <c r="AIR56" s="26"/>
      <c r="AIS56" s="26"/>
      <c r="AIT56" s="26"/>
      <c r="AIU56" s="26"/>
      <c r="AIV56" s="26"/>
      <c r="AIW56" s="26"/>
      <c r="AIX56" s="26"/>
      <c r="AIY56" s="26"/>
      <c r="AIZ56" s="26"/>
      <c r="AJA56" s="26"/>
      <c r="AJB56" s="26"/>
      <c r="AJC56" s="26"/>
      <c r="AJD56" s="26"/>
      <c r="AJE56" s="26"/>
      <c r="AJF56" s="26"/>
      <c r="AJG56" s="26"/>
      <c r="AJH56" s="26"/>
      <c r="AJI56" s="26"/>
      <c r="AJJ56" s="26"/>
      <c r="AJK56" s="26"/>
      <c r="AJL56" s="26"/>
      <c r="AJM56" s="26"/>
      <c r="AJN56" s="26"/>
      <c r="AJO56" s="26"/>
      <c r="AJP56" s="26"/>
      <c r="AJQ56" s="26"/>
      <c r="AJR56" s="26"/>
      <c r="AJS56" s="26"/>
      <c r="AJT56" s="26"/>
      <c r="AJU56" s="26"/>
      <c r="AJV56" s="26"/>
      <c r="AJW56" s="26"/>
      <c r="AJX56" s="26"/>
      <c r="AJY56" s="26"/>
      <c r="AJZ56" s="26"/>
      <c r="AKA56" s="26"/>
      <c r="AKB56" s="26"/>
      <c r="AKC56" s="26"/>
      <c r="AKD56" s="26"/>
      <c r="AKE56" s="26"/>
      <c r="AKF56" s="26"/>
      <c r="AKG56" s="26"/>
      <c r="AKH56" s="26"/>
      <c r="AKI56" s="26"/>
      <c r="AKJ56" s="26"/>
      <c r="AKK56" s="26"/>
      <c r="AKL56" s="26"/>
      <c r="AKM56" s="26"/>
      <c r="AKN56" s="26"/>
      <c r="AKO56" s="26"/>
      <c r="AKP56" s="26"/>
      <c r="AKQ56" s="26"/>
      <c r="AKR56" s="26"/>
      <c r="AKS56" s="26"/>
      <c r="AKT56" s="26"/>
      <c r="AKU56" s="26"/>
      <c r="AKV56" s="26"/>
      <c r="AKW56" s="26"/>
      <c r="AKX56" s="26"/>
      <c r="AKY56" s="26"/>
      <c r="AKZ56" s="26"/>
      <c r="ALA56" s="26"/>
      <c r="ALB56" s="26"/>
      <c r="ALC56" s="26"/>
      <c r="ALD56" s="26"/>
      <c r="ALE56" s="26"/>
      <c r="ALF56" s="26"/>
      <c r="ALG56" s="26"/>
      <c r="ALH56" s="26"/>
      <c r="ALI56" s="26"/>
      <c r="ALJ56" s="26"/>
      <c r="ALK56" s="26"/>
      <c r="ALL56" s="26"/>
      <c r="ALM56" s="26"/>
      <c r="ALN56" s="26"/>
      <c r="ALO56" s="26"/>
      <c r="ALP56" s="26"/>
      <c r="ALQ56" s="26"/>
      <c r="ALR56" s="26"/>
      <c r="ALS56" s="26"/>
      <c r="ALT56" s="26"/>
      <c r="ALU56" s="26"/>
      <c r="ALV56" s="26"/>
      <c r="ALW56" s="26"/>
      <c r="ALX56" s="26"/>
      <c r="ALY56" s="26"/>
      <c r="ALZ56" s="26"/>
      <c r="AMA56" s="26"/>
      <c r="AMB56" s="26"/>
      <c r="AMC56" s="26"/>
      <c r="AMD56" s="26"/>
      <c r="AME56" s="26"/>
      <c r="AMF56" s="26"/>
      <c r="AMG56" s="26"/>
      <c r="AMH56" s="26"/>
      <c r="AMI56" s="26"/>
      <c r="AMJ56" s="26"/>
    </row>
    <row r="57" spans="1:1024" s="26" customFormat="1" ht="12.75">
      <c r="A57" s="76" t="s">
        <v>265</v>
      </c>
      <c r="B57" s="259"/>
      <c r="C57" s="260"/>
      <c r="D57" s="268" t="s">
        <v>27</v>
      </c>
      <c r="E57" s="269"/>
      <c r="F57" s="269"/>
      <c r="G57" s="269"/>
      <c r="H57" s="269"/>
      <c r="I57" s="270">
        <f t="shared" ref="I57:I62" si="23">ROUND(F57*H57,2)</f>
        <v>0</v>
      </c>
    </row>
    <row r="58" spans="1:1024" ht="25.5">
      <c r="A58" s="187" t="s">
        <v>352</v>
      </c>
      <c r="B58" s="187">
        <v>85005</v>
      </c>
      <c r="C58" s="187" t="s">
        <v>14</v>
      </c>
      <c r="D58" s="78" t="s">
        <v>120</v>
      </c>
      <c r="E58" s="187" t="s">
        <v>15</v>
      </c>
      <c r="F58" s="35">
        <f>'MEMÓRIA DE CÁLCULO'!H225</f>
        <v>3.6800000000000006</v>
      </c>
      <c r="G58" s="35"/>
      <c r="H58" s="36">
        <f t="shared" ref="H58" si="24">ROUND((G58*$I$10)+G58,2)</f>
        <v>0</v>
      </c>
      <c r="I58" s="71">
        <f t="shared" si="23"/>
        <v>0</v>
      </c>
    </row>
    <row r="59" spans="1:1024">
      <c r="A59" s="76" t="s">
        <v>266</v>
      </c>
      <c r="B59" s="259"/>
      <c r="C59" s="260"/>
      <c r="D59" s="268" t="s">
        <v>28</v>
      </c>
      <c r="E59" s="269"/>
      <c r="F59" s="269"/>
      <c r="G59" s="269"/>
      <c r="H59" s="269"/>
      <c r="I59" s="270">
        <f t="shared" si="23"/>
        <v>0</v>
      </c>
    </row>
    <row r="60" spans="1:1024" s="25" customFormat="1" ht="25.5">
      <c r="A60" s="219" t="s">
        <v>353</v>
      </c>
      <c r="B60" s="178" t="s">
        <v>145</v>
      </c>
      <c r="C60" s="178" t="s">
        <v>12</v>
      </c>
      <c r="D60" s="24" t="s">
        <v>146</v>
      </c>
      <c r="E60" s="178" t="s">
        <v>111</v>
      </c>
      <c r="F60" s="86">
        <f>'MEMÓRIA DE CÁLCULO'!H232</f>
        <v>13</v>
      </c>
      <c r="G60" s="86"/>
      <c r="H60" s="36">
        <f t="shared" ref="H60:H62" si="25">ROUND((G60*$I$10)+G60,2)</f>
        <v>0</v>
      </c>
      <c r="I60" s="71">
        <f t="shared" si="23"/>
        <v>0</v>
      </c>
      <c r="L60" s="103"/>
    </row>
    <row r="61" spans="1:1024" s="25" customFormat="1" ht="12.75">
      <c r="A61" s="231" t="s">
        <v>354</v>
      </c>
      <c r="B61" s="230" t="s">
        <v>581</v>
      </c>
      <c r="C61" s="230" t="s">
        <v>12</v>
      </c>
      <c r="D61" s="30" t="s">
        <v>582</v>
      </c>
      <c r="E61" s="181" t="s">
        <v>15</v>
      </c>
      <c r="F61" s="86">
        <f>'MEMÓRIA DE CÁLCULO'!H235</f>
        <v>3.3600000000000003</v>
      </c>
      <c r="G61" s="86"/>
      <c r="H61" s="36">
        <f t="shared" si="25"/>
        <v>0</v>
      </c>
      <c r="I61" s="71">
        <f t="shared" si="23"/>
        <v>0</v>
      </c>
      <c r="K61" s="103"/>
    </row>
    <row r="62" spans="1:1024" s="25" customFormat="1" ht="25.5">
      <c r="A62" s="231" t="s">
        <v>355</v>
      </c>
      <c r="B62" s="11">
        <v>99861</v>
      </c>
      <c r="C62" s="11" t="s">
        <v>14</v>
      </c>
      <c r="D62" s="78" t="s">
        <v>262</v>
      </c>
      <c r="E62" s="185" t="s">
        <v>15</v>
      </c>
      <c r="F62" s="12">
        <f>'MEMÓRIA DE CÁLCULO'!H238</f>
        <v>2.9</v>
      </c>
      <c r="G62" s="12"/>
      <c r="H62" s="36">
        <f t="shared" si="25"/>
        <v>0</v>
      </c>
      <c r="I62" s="71">
        <f t="shared" si="23"/>
        <v>0</v>
      </c>
      <c r="K62" s="103"/>
    </row>
    <row r="63" spans="1:1024" s="25" customFormat="1" ht="12.75">
      <c r="A63" s="76" t="s">
        <v>267</v>
      </c>
      <c r="B63" s="259"/>
      <c r="C63" s="260"/>
      <c r="D63" s="268" t="s">
        <v>251</v>
      </c>
      <c r="E63" s="269"/>
      <c r="F63" s="269"/>
      <c r="G63" s="269"/>
      <c r="H63" s="269"/>
      <c r="I63" s="270">
        <f t="shared" ref="I63:I66" si="26">ROUND(F63*H63,2)</f>
        <v>0</v>
      </c>
      <c r="K63" s="103"/>
    </row>
    <row r="64" spans="1:1024" s="25" customFormat="1" ht="25.5">
      <c r="A64" s="156" t="s">
        <v>356</v>
      </c>
      <c r="B64" s="11" t="s">
        <v>252</v>
      </c>
      <c r="C64" s="11" t="s">
        <v>12</v>
      </c>
      <c r="D64" s="24" t="s">
        <v>538</v>
      </c>
      <c r="E64" s="168" t="s">
        <v>15</v>
      </c>
      <c r="F64" s="12">
        <f>'MEMÓRIA DE CÁLCULO'!H244</f>
        <v>6.1</v>
      </c>
      <c r="G64" s="12"/>
      <c r="H64" s="36">
        <f t="shared" ref="H64:H66" si="27">ROUND((G64*$I$10)+G64,2)</f>
        <v>0</v>
      </c>
      <c r="I64" s="71">
        <f t="shared" si="26"/>
        <v>0</v>
      </c>
    </row>
    <row r="65" spans="1:60" s="25" customFormat="1" ht="38.25">
      <c r="A65" s="246" t="s">
        <v>357</v>
      </c>
      <c r="B65" s="254" t="s">
        <v>791</v>
      </c>
      <c r="C65" s="254" t="s">
        <v>181</v>
      </c>
      <c r="D65" s="78" t="s">
        <v>758</v>
      </c>
      <c r="E65" s="62" t="s">
        <v>118</v>
      </c>
      <c r="F65" s="255">
        <f>'MEMÓRIA DE CÁLCULO'!H251</f>
        <v>20</v>
      </c>
      <c r="G65" s="255"/>
      <c r="H65" s="36">
        <f t="shared" ref="H65" si="28">ROUND((G65*$I$10)+G65,2)</f>
        <v>0</v>
      </c>
      <c r="I65" s="71">
        <f t="shared" ref="I65" si="29">ROUND(F65*H65,2)</f>
        <v>0</v>
      </c>
    </row>
    <row r="66" spans="1:60" s="25" customFormat="1" ht="25.5">
      <c r="A66" s="246" t="s">
        <v>757</v>
      </c>
      <c r="B66" s="11">
        <v>8970</v>
      </c>
      <c r="C66" s="11" t="s">
        <v>26</v>
      </c>
      <c r="D66" s="24" t="s">
        <v>253</v>
      </c>
      <c r="E66" s="168" t="s">
        <v>15</v>
      </c>
      <c r="F66" s="12">
        <f>'MEMÓRIA DE CÁLCULO'!H254</f>
        <v>8.1449999999999996</v>
      </c>
      <c r="G66" s="12"/>
      <c r="H66" s="36">
        <f t="shared" si="27"/>
        <v>0</v>
      </c>
      <c r="I66" s="71">
        <f t="shared" si="26"/>
        <v>0</v>
      </c>
    </row>
    <row r="67" spans="1:60">
      <c r="A67" s="261" t="s">
        <v>358</v>
      </c>
      <c r="B67" s="262"/>
      <c r="C67" s="262"/>
      <c r="D67" s="262"/>
      <c r="E67" s="262"/>
      <c r="F67" s="262"/>
      <c r="G67" s="263"/>
      <c r="H67" s="257">
        <f>SUM(I55:I56)+SUM(I58:I58)+SUM(I60:I62)+SUM(I64:I66)</f>
        <v>0</v>
      </c>
      <c r="I67" s="258"/>
    </row>
    <row r="68" spans="1:60">
      <c r="A68" s="73">
        <v>7</v>
      </c>
      <c r="B68" s="271"/>
      <c r="C68" s="272"/>
      <c r="D68" s="287" t="s">
        <v>29</v>
      </c>
      <c r="E68" s="288"/>
      <c r="F68" s="288"/>
      <c r="G68" s="288"/>
      <c r="H68" s="289"/>
      <c r="I68" s="10">
        <f>H75</f>
        <v>0</v>
      </c>
    </row>
    <row r="69" spans="1:60" ht="63.75">
      <c r="A69" s="185" t="s">
        <v>30</v>
      </c>
      <c r="B69" s="223" t="s">
        <v>400</v>
      </c>
      <c r="C69" s="223" t="s">
        <v>12</v>
      </c>
      <c r="D69" s="24" t="s">
        <v>401</v>
      </c>
      <c r="E69" s="168" t="s">
        <v>15</v>
      </c>
      <c r="F69" s="35">
        <f>'MEMÓRIA DE CÁLCULO'!H261</f>
        <v>314.42</v>
      </c>
      <c r="G69" s="35"/>
      <c r="H69" s="36">
        <f t="shared" ref="H69:H73" si="30">ROUND((G69*$I$10)+G69,2)</f>
        <v>0</v>
      </c>
      <c r="I69" s="71">
        <f t="shared" ref="I69:I73" si="31">ROUND(F69*H69,2)</f>
        <v>0</v>
      </c>
      <c r="J69" s="166"/>
      <c r="K69" s="10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row>
    <row r="70" spans="1:60">
      <c r="A70" s="219" t="s">
        <v>359</v>
      </c>
      <c r="B70" s="223" t="s">
        <v>404</v>
      </c>
      <c r="C70" s="223" t="s">
        <v>12</v>
      </c>
      <c r="D70" s="24" t="s">
        <v>407</v>
      </c>
      <c r="E70" s="219" t="s">
        <v>111</v>
      </c>
      <c r="F70" s="35">
        <f>'MEMÓRIA DE CÁLCULO'!H265</f>
        <v>13</v>
      </c>
      <c r="G70" s="35"/>
      <c r="H70" s="36">
        <f t="shared" ref="H70:H72" si="32">ROUND((G70*$I$10)+G70,2)</f>
        <v>0</v>
      </c>
      <c r="I70" s="71">
        <f t="shared" ref="I70:I72" si="33">ROUND(F70*H70,2)</f>
        <v>0</v>
      </c>
      <c r="J70" s="166"/>
      <c r="K70" s="10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row>
    <row r="71" spans="1:60">
      <c r="A71" s="219" t="s">
        <v>360</v>
      </c>
      <c r="B71" s="223" t="s">
        <v>405</v>
      </c>
      <c r="C71" s="223" t="s">
        <v>12</v>
      </c>
      <c r="D71" s="24" t="s">
        <v>408</v>
      </c>
      <c r="E71" s="219" t="s">
        <v>111</v>
      </c>
      <c r="F71" s="35">
        <f>'MEMÓRIA DE CÁLCULO'!H268</f>
        <v>77.819999999999993</v>
      </c>
      <c r="G71" s="35"/>
      <c r="H71" s="36">
        <f t="shared" si="32"/>
        <v>0</v>
      </c>
      <c r="I71" s="71">
        <f t="shared" si="33"/>
        <v>0</v>
      </c>
      <c r="J71" s="166"/>
      <c r="K71" s="10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row>
    <row r="72" spans="1:60" ht="25.5">
      <c r="A72" s="231" t="s">
        <v>361</v>
      </c>
      <c r="B72" s="223" t="s">
        <v>406</v>
      </c>
      <c r="C72" s="223" t="s">
        <v>12</v>
      </c>
      <c r="D72" s="24" t="s">
        <v>409</v>
      </c>
      <c r="E72" s="219" t="s">
        <v>111</v>
      </c>
      <c r="F72" s="35">
        <f>'MEMÓRIA DE CÁLCULO'!H271</f>
        <v>280.74</v>
      </c>
      <c r="G72" s="35"/>
      <c r="H72" s="36">
        <f t="shared" si="32"/>
        <v>0</v>
      </c>
      <c r="I72" s="71">
        <f t="shared" si="33"/>
        <v>0</v>
      </c>
      <c r="J72" s="166"/>
      <c r="K72" s="10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row>
    <row r="73" spans="1:60" s="25" customFormat="1" ht="38.25">
      <c r="A73" s="231" t="s">
        <v>402</v>
      </c>
      <c r="B73" s="169">
        <v>12414</v>
      </c>
      <c r="C73" s="169" t="s">
        <v>26</v>
      </c>
      <c r="D73" s="24" t="s">
        <v>248</v>
      </c>
      <c r="E73" s="168" t="s">
        <v>111</v>
      </c>
      <c r="F73" s="35">
        <f>'MEMÓRIA DE CÁLCULO'!H274</f>
        <v>18</v>
      </c>
      <c r="G73" s="35"/>
      <c r="H73" s="36">
        <f t="shared" si="30"/>
        <v>0</v>
      </c>
      <c r="I73" s="71">
        <f t="shared" si="31"/>
        <v>0</v>
      </c>
    </row>
    <row r="74" spans="1:60" s="25" customFormat="1" ht="12.75">
      <c r="A74" s="231" t="s">
        <v>403</v>
      </c>
      <c r="B74" s="169" t="s">
        <v>555</v>
      </c>
      <c r="C74" s="233" t="s">
        <v>12</v>
      </c>
      <c r="D74" s="24" t="s">
        <v>556</v>
      </c>
      <c r="E74" s="231" t="s">
        <v>15</v>
      </c>
      <c r="F74" s="35">
        <f>'MEMÓRIA DE CÁLCULO'!H277</f>
        <v>581.77</v>
      </c>
      <c r="G74" s="35"/>
      <c r="H74" s="36">
        <f t="shared" ref="H74" si="34">ROUND((G74*$I$10)+G74,2)</f>
        <v>0</v>
      </c>
      <c r="I74" s="71">
        <f t="shared" ref="I74" si="35">ROUND(F74*H74,2)</f>
        <v>0</v>
      </c>
    </row>
    <row r="75" spans="1:60" s="25" customFormat="1" ht="12.75">
      <c r="A75" s="261" t="s">
        <v>284</v>
      </c>
      <c r="B75" s="262"/>
      <c r="C75" s="262"/>
      <c r="D75" s="262"/>
      <c r="E75" s="262"/>
      <c r="F75" s="262"/>
      <c r="G75" s="263"/>
      <c r="H75" s="257">
        <f>SUM(I69:I74)</f>
        <v>0</v>
      </c>
      <c r="I75" s="258"/>
    </row>
    <row r="76" spans="1:60" s="25" customFormat="1" ht="12.75">
      <c r="A76" s="73">
        <v>8</v>
      </c>
      <c r="B76" s="271"/>
      <c r="C76" s="272"/>
      <c r="D76" s="287" t="s">
        <v>31</v>
      </c>
      <c r="E76" s="288"/>
      <c r="F76" s="288"/>
      <c r="G76" s="288"/>
      <c r="H76" s="289"/>
      <c r="I76" s="10">
        <f>H78</f>
        <v>0</v>
      </c>
      <c r="K76" s="105"/>
    </row>
    <row r="77" spans="1:60" s="25" customFormat="1" ht="12.75">
      <c r="A77" s="102" t="s">
        <v>32</v>
      </c>
      <c r="B77" s="102" t="s">
        <v>33</v>
      </c>
      <c r="C77" s="102" t="s">
        <v>12</v>
      </c>
      <c r="D77" s="30" t="s">
        <v>249</v>
      </c>
      <c r="E77" s="102" t="s">
        <v>15</v>
      </c>
      <c r="F77" s="35">
        <f>'MEMÓRIA DE CÁLCULO'!H296</f>
        <v>134.422</v>
      </c>
      <c r="G77" s="35"/>
      <c r="H77" s="36">
        <f t="shared" ref="H77" si="36">ROUND((G77*$I$10)+G77,2)</f>
        <v>0</v>
      </c>
      <c r="I77" s="71">
        <f t="shared" ref="I77" si="37">ROUND(F77*H77,2)</f>
        <v>0</v>
      </c>
    </row>
    <row r="78" spans="1:60" s="25" customFormat="1" ht="12.75">
      <c r="A78" s="261" t="s">
        <v>285</v>
      </c>
      <c r="B78" s="262"/>
      <c r="C78" s="262"/>
      <c r="D78" s="262"/>
      <c r="E78" s="262"/>
      <c r="F78" s="262"/>
      <c r="G78" s="263"/>
      <c r="H78" s="257">
        <f>SUM(I77:I77)</f>
        <v>0</v>
      </c>
      <c r="I78" s="258"/>
    </row>
    <row r="79" spans="1:60" s="25" customFormat="1" ht="12.75">
      <c r="A79" s="73">
        <v>9</v>
      </c>
      <c r="B79" s="271"/>
      <c r="C79" s="272"/>
      <c r="D79" s="287" t="s">
        <v>163</v>
      </c>
      <c r="E79" s="288"/>
      <c r="F79" s="288"/>
      <c r="G79" s="288"/>
      <c r="H79" s="289"/>
      <c r="I79" s="10">
        <f>H85</f>
        <v>0</v>
      </c>
    </row>
    <row r="80" spans="1:60" s="25" customFormat="1" ht="12.75">
      <c r="A80" s="142" t="s">
        <v>34</v>
      </c>
      <c r="B80" s="143" t="s">
        <v>217</v>
      </c>
      <c r="C80" s="144" t="s">
        <v>12</v>
      </c>
      <c r="D80" s="24" t="s">
        <v>218</v>
      </c>
      <c r="E80" s="142" t="s">
        <v>15</v>
      </c>
      <c r="F80" s="35">
        <f>'MEMÓRIA DE CÁLCULO'!H308</f>
        <v>1449.9860000000003</v>
      </c>
      <c r="G80" s="35"/>
      <c r="H80" s="36">
        <f t="shared" ref="H80:H84" si="38">ROUND((G80*$I$10)+G80,2)</f>
        <v>0</v>
      </c>
      <c r="I80" s="71">
        <f t="shared" ref="I80:I84" si="39">ROUND(F80*H80,2)</f>
        <v>0</v>
      </c>
    </row>
    <row r="81" spans="1:1024" s="25" customFormat="1" ht="25.5">
      <c r="A81" s="219" t="s">
        <v>268</v>
      </c>
      <c r="B81" s="37">
        <v>87878</v>
      </c>
      <c r="C81" s="37" t="s">
        <v>14</v>
      </c>
      <c r="D81" s="24" t="s">
        <v>736</v>
      </c>
      <c r="E81" s="37" t="s">
        <v>15</v>
      </c>
      <c r="F81" s="35">
        <f>'MEMÓRIA DE CÁLCULO'!H351</f>
        <v>68.989999999999995</v>
      </c>
      <c r="G81" s="35"/>
      <c r="H81" s="36">
        <f t="shared" si="38"/>
        <v>0</v>
      </c>
      <c r="I81" s="71">
        <f t="shared" si="39"/>
        <v>0</v>
      </c>
    </row>
    <row r="82" spans="1:1024" ht="25.5">
      <c r="A82" s="219" t="s">
        <v>362</v>
      </c>
      <c r="B82" s="127" t="s">
        <v>194</v>
      </c>
      <c r="C82" s="127" t="s">
        <v>12</v>
      </c>
      <c r="D82" s="24" t="s">
        <v>195</v>
      </c>
      <c r="E82" s="127" t="s">
        <v>15</v>
      </c>
      <c r="F82" s="86">
        <f>'MEMÓRIA DE CÁLCULO'!H357</f>
        <v>68.989999999999995</v>
      </c>
      <c r="G82" s="86"/>
      <c r="H82" s="36">
        <f t="shared" si="38"/>
        <v>0</v>
      </c>
      <c r="I82" s="71">
        <f t="shared" si="39"/>
        <v>0</v>
      </c>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s="25" customFormat="1" ht="25.5">
      <c r="A83" s="219" t="s">
        <v>363</v>
      </c>
      <c r="B83" s="11" t="s">
        <v>216</v>
      </c>
      <c r="C83" s="11" t="s">
        <v>12</v>
      </c>
      <c r="D83" s="24" t="s">
        <v>299</v>
      </c>
      <c r="E83" s="141" t="s">
        <v>15</v>
      </c>
      <c r="F83" s="12">
        <f>'MEMÓRIA DE CÁLCULO'!H363</f>
        <v>1038.9514999999999</v>
      </c>
      <c r="G83" s="12"/>
      <c r="H83" s="36">
        <f t="shared" si="38"/>
        <v>0</v>
      </c>
      <c r="I83" s="71">
        <f t="shared" si="39"/>
        <v>0</v>
      </c>
    </row>
    <row r="84" spans="1:1024" s="25" customFormat="1" ht="25.5">
      <c r="A84" s="219" t="s">
        <v>364</v>
      </c>
      <c r="B84" s="107" t="s">
        <v>196</v>
      </c>
      <c r="C84" s="37" t="s">
        <v>12</v>
      </c>
      <c r="D84" s="24" t="s">
        <v>197</v>
      </c>
      <c r="E84" s="37" t="s">
        <v>15</v>
      </c>
      <c r="F84" s="35">
        <f>'MEMÓRIA DE CÁLCULO'!H392</f>
        <v>448.5544999999999</v>
      </c>
      <c r="G84" s="35"/>
      <c r="H84" s="36">
        <f t="shared" si="38"/>
        <v>0</v>
      </c>
      <c r="I84" s="71">
        <f t="shared" si="39"/>
        <v>0</v>
      </c>
    </row>
    <row r="85" spans="1:1024" s="25" customFormat="1" ht="12.75">
      <c r="A85" s="261" t="s">
        <v>365</v>
      </c>
      <c r="B85" s="262"/>
      <c r="C85" s="262"/>
      <c r="D85" s="262"/>
      <c r="E85" s="262"/>
      <c r="F85" s="262"/>
      <c r="G85" s="263"/>
      <c r="H85" s="257">
        <f>SUM(I80:I84)</f>
        <v>0</v>
      </c>
      <c r="I85" s="258"/>
    </row>
    <row r="86" spans="1:1024" s="28" customFormat="1">
      <c r="A86" s="73">
        <v>10</v>
      </c>
      <c r="B86" s="271"/>
      <c r="C86" s="272"/>
      <c r="D86" s="287" t="s">
        <v>83</v>
      </c>
      <c r="E86" s="288"/>
      <c r="F86" s="288"/>
      <c r="G86" s="288"/>
      <c r="H86" s="289"/>
      <c r="I86" s="10">
        <f>H93</f>
        <v>0</v>
      </c>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c r="IZ86" s="26"/>
      <c r="JA86" s="26"/>
      <c r="JB86" s="26"/>
      <c r="JC86" s="26"/>
      <c r="JD86" s="26"/>
      <c r="JE86" s="26"/>
      <c r="JF86" s="26"/>
      <c r="JG86" s="26"/>
      <c r="JH86" s="26"/>
      <c r="JI86" s="26"/>
      <c r="JJ86" s="26"/>
      <c r="JK86" s="26"/>
      <c r="JL86" s="26"/>
      <c r="JM86" s="26"/>
      <c r="JN86" s="26"/>
      <c r="JO86" s="26"/>
      <c r="JP86" s="26"/>
      <c r="JQ86" s="26"/>
      <c r="JR86" s="26"/>
      <c r="JS86" s="26"/>
      <c r="JT86" s="26"/>
      <c r="JU86" s="26"/>
      <c r="JV86" s="26"/>
      <c r="JW86" s="26"/>
      <c r="JX86" s="26"/>
      <c r="JY86" s="26"/>
      <c r="JZ86" s="26"/>
      <c r="KA86" s="26"/>
      <c r="KB86" s="26"/>
      <c r="KC86" s="26"/>
      <c r="KD86" s="26"/>
      <c r="KE86" s="26"/>
      <c r="KF86" s="26"/>
      <c r="KG86" s="26"/>
      <c r="KH86" s="26"/>
      <c r="KI86" s="26"/>
      <c r="KJ86" s="26"/>
      <c r="KK86" s="26"/>
      <c r="KL86" s="26"/>
      <c r="KM86" s="26"/>
      <c r="KN86" s="26"/>
      <c r="KO86" s="26"/>
      <c r="KP86" s="26"/>
      <c r="KQ86" s="26"/>
      <c r="KR86" s="26"/>
      <c r="KS86" s="26"/>
      <c r="KT86" s="26"/>
      <c r="KU86" s="26"/>
      <c r="KV86" s="26"/>
      <c r="KW86" s="26"/>
      <c r="KX86" s="26"/>
      <c r="KY86" s="26"/>
      <c r="KZ86" s="26"/>
      <c r="LA86" s="26"/>
      <c r="LB86" s="26"/>
      <c r="LC86" s="26"/>
      <c r="LD86" s="26"/>
      <c r="LE86" s="26"/>
      <c r="LF86" s="26"/>
      <c r="LG86" s="26"/>
      <c r="LH86" s="26"/>
      <c r="LI86" s="26"/>
      <c r="LJ86" s="26"/>
      <c r="LK86" s="26"/>
      <c r="LL86" s="26"/>
      <c r="LM86" s="26"/>
      <c r="LN86" s="26"/>
      <c r="LO86" s="26"/>
      <c r="LP86" s="26"/>
      <c r="LQ86" s="26"/>
      <c r="LR86" s="26"/>
      <c r="LS86" s="26"/>
      <c r="LT86" s="26"/>
      <c r="LU86" s="26"/>
      <c r="LV86" s="26"/>
      <c r="LW86" s="26"/>
      <c r="LX86" s="26"/>
      <c r="LY86" s="26"/>
      <c r="LZ86" s="26"/>
      <c r="MA86" s="26"/>
      <c r="MB86" s="26"/>
      <c r="MC86" s="26"/>
      <c r="MD86" s="26"/>
      <c r="ME86" s="26"/>
      <c r="MF86" s="26"/>
      <c r="MG86" s="26"/>
      <c r="MH86" s="26"/>
      <c r="MI86" s="26"/>
      <c r="MJ86" s="26"/>
      <c r="MK86" s="26"/>
      <c r="ML86" s="26"/>
      <c r="MM86" s="26"/>
      <c r="MN86" s="26"/>
      <c r="MO86" s="26"/>
      <c r="MP86" s="26"/>
      <c r="MQ86" s="26"/>
      <c r="MR86" s="26"/>
      <c r="MS86" s="26"/>
      <c r="MT86" s="26"/>
      <c r="MU86" s="26"/>
      <c r="MV86" s="26"/>
      <c r="MW86" s="26"/>
      <c r="MX86" s="26"/>
      <c r="MY86" s="26"/>
      <c r="MZ86" s="26"/>
      <c r="NA86" s="26"/>
      <c r="NB86" s="26"/>
      <c r="NC86" s="26"/>
      <c r="ND86" s="26"/>
      <c r="NE86" s="26"/>
      <c r="NF86" s="26"/>
      <c r="NG86" s="26"/>
      <c r="NH86" s="26"/>
      <c r="NI86" s="26"/>
      <c r="NJ86" s="26"/>
      <c r="NK86" s="26"/>
      <c r="NL86" s="26"/>
      <c r="NM86" s="26"/>
      <c r="NN86" s="26"/>
      <c r="NO86" s="26"/>
      <c r="NP86" s="26"/>
      <c r="NQ86" s="26"/>
      <c r="NR86" s="26"/>
      <c r="NS86" s="26"/>
      <c r="NT86" s="26"/>
      <c r="NU86" s="26"/>
      <c r="NV86" s="26"/>
      <c r="NW86" s="26"/>
      <c r="NX86" s="26"/>
      <c r="NY86" s="26"/>
      <c r="NZ86" s="26"/>
      <c r="OA86" s="26"/>
      <c r="OB86" s="26"/>
      <c r="OC86" s="26"/>
      <c r="OD86" s="26"/>
      <c r="OE86" s="26"/>
      <c r="OF86" s="26"/>
      <c r="OG86" s="26"/>
      <c r="OH86" s="26"/>
      <c r="OI86" s="26"/>
      <c r="OJ86" s="26"/>
      <c r="OK86" s="26"/>
      <c r="OL86" s="26"/>
      <c r="OM86" s="26"/>
      <c r="ON86" s="26"/>
      <c r="OO86" s="26"/>
      <c r="OP86" s="26"/>
      <c r="OQ86" s="26"/>
      <c r="OR86" s="26"/>
      <c r="OS86" s="26"/>
      <c r="OT86" s="26"/>
      <c r="OU86" s="26"/>
      <c r="OV86" s="26"/>
      <c r="OW86" s="26"/>
      <c r="OX86" s="26"/>
      <c r="OY86" s="26"/>
      <c r="OZ86" s="26"/>
      <c r="PA86" s="26"/>
      <c r="PB86" s="26"/>
      <c r="PC86" s="26"/>
      <c r="PD86" s="26"/>
      <c r="PE86" s="26"/>
      <c r="PF86" s="26"/>
      <c r="PG86" s="26"/>
      <c r="PH86" s="26"/>
      <c r="PI86" s="26"/>
      <c r="PJ86" s="26"/>
      <c r="PK86" s="26"/>
      <c r="PL86" s="26"/>
      <c r="PM86" s="26"/>
      <c r="PN86" s="26"/>
      <c r="PO86" s="26"/>
      <c r="PP86" s="26"/>
      <c r="PQ86" s="26"/>
      <c r="PR86" s="26"/>
      <c r="PS86" s="26"/>
      <c r="PT86" s="26"/>
      <c r="PU86" s="26"/>
      <c r="PV86" s="26"/>
      <c r="PW86" s="26"/>
      <c r="PX86" s="26"/>
      <c r="PY86" s="26"/>
      <c r="PZ86" s="26"/>
      <c r="QA86" s="26"/>
      <c r="QB86" s="26"/>
      <c r="QC86" s="26"/>
      <c r="QD86" s="26"/>
      <c r="QE86" s="26"/>
      <c r="QF86" s="26"/>
      <c r="QG86" s="26"/>
      <c r="QH86" s="26"/>
      <c r="QI86" s="26"/>
      <c r="QJ86" s="26"/>
      <c r="QK86" s="26"/>
      <c r="QL86" s="26"/>
      <c r="QM86" s="26"/>
      <c r="QN86" s="26"/>
      <c r="QO86" s="26"/>
      <c r="QP86" s="26"/>
      <c r="QQ86" s="26"/>
      <c r="QR86" s="26"/>
      <c r="QS86" s="26"/>
      <c r="QT86" s="26"/>
      <c r="QU86" s="26"/>
      <c r="QV86" s="26"/>
      <c r="QW86" s="26"/>
      <c r="QX86" s="26"/>
      <c r="QY86" s="26"/>
      <c r="QZ86" s="26"/>
      <c r="RA86" s="26"/>
      <c r="RB86" s="26"/>
      <c r="RC86" s="26"/>
      <c r="RD86" s="26"/>
      <c r="RE86" s="26"/>
      <c r="RF86" s="26"/>
      <c r="RG86" s="26"/>
      <c r="RH86" s="26"/>
      <c r="RI86" s="26"/>
      <c r="RJ86" s="26"/>
      <c r="RK86" s="26"/>
      <c r="RL86" s="26"/>
      <c r="RM86" s="26"/>
      <c r="RN86" s="26"/>
      <c r="RO86" s="26"/>
      <c r="RP86" s="26"/>
      <c r="RQ86" s="26"/>
      <c r="RR86" s="26"/>
      <c r="RS86" s="26"/>
      <c r="RT86" s="26"/>
      <c r="RU86" s="26"/>
      <c r="RV86" s="26"/>
      <c r="RW86" s="26"/>
      <c r="RX86" s="26"/>
      <c r="RY86" s="26"/>
      <c r="RZ86" s="26"/>
      <c r="SA86" s="26"/>
      <c r="SB86" s="26"/>
      <c r="SC86" s="26"/>
      <c r="SD86" s="26"/>
      <c r="SE86" s="26"/>
      <c r="SF86" s="26"/>
      <c r="SG86" s="26"/>
      <c r="SH86" s="26"/>
      <c r="SI86" s="26"/>
      <c r="SJ86" s="26"/>
      <c r="SK86" s="26"/>
      <c r="SL86" s="26"/>
      <c r="SM86" s="26"/>
      <c r="SN86" s="26"/>
      <c r="SO86" s="26"/>
      <c r="SP86" s="26"/>
      <c r="SQ86" s="26"/>
      <c r="SR86" s="26"/>
      <c r="SS86" s="26"/>
      <c r="ST86" s="26"/>
      <c r="SU86" s="26"/>
      <c r="SV86" s="26"/>
      <c r="SW86" s="26"/>
      <c r="SX86" s="26"/>
      <c r="SY86" s="26"/>
      <c r="SZ86" s="26"/>
      <c r="TA86" s="26"/>
      <c r="TB86" s="26"/>
      <c r="TC86" s="26"/>
      <c r="TD86" s="26"/>
      <c r="TE86" s="26"/>
      <c r="TF86" s="26"/>
      <c r="TG86" s="26"/>
      <c r="TH86" s="26"/>
      <c r="TI86" s="26"/>
      <c r="TJ86" s="26"/>
      <c r="TK86" s="26"/>
      <c r="TL86" s="26"/>
      <c r="TM86" s="26"/>
      <c r="TN86" s="26"/>
      <c r="TO86" s="26"/>
      <c r="TP86" s="26"/>
      <c r="TQ86" s="26"/>
      <c r="TR86" s="26"/>
      <c r="TS86" s="26"/>
      <c r="TT86" s="26"/>
      <c r="TU86" s="26"/>
      <c r="TV86" s="26"/>
      <c r="TW86" s="26"/>
      <c r="TX86" s="26"/>
      <c r="TY86" s="26"/>
      <c r="TZ86" s="26"/>
      <c r="UA86" s="26"/>
      <c r="UB86" s="26"/>
      <c r="UC86" s="26"/>
      <c r="UD86" s="26"/>
      <c r="UE86" s="26"/>
      <c r="UF86" s="26"/>
      <c r="UG86" s="26"/>
      <c r="UH86" s="26"/>
      <c r="UI86" s="26"/>
      <c r="UJ86" s="26"/>
      <c r="UK86" s="26"/>
      <c r="UL86" s="26"/>
      <c r="UM86" s="26"/>
      <c r="UN86" s="26"/>
      <c r="UO86" s="26"/>
      <c r="UP86" s="26"/>
      <c r="UQ86" s="26"/>
      <c r="UR86" s="26"/>
      <c r="US86" s="26"/>
      <c r="UT86" s="26"/>
      <c r="UU86" s="26"/>
      <c r="UV86" s="26"/>
      <c r="UW86" s="26"/>
      <c r="UX86" s="26"/>
      <c r="UY86" s="26"/>
      <c r="UZ86" s="26"/>
      <c r="VA86" s="26"/>
      <c r="VB86" s="26"/>
      <c r="VC86" s="26"/>
      <c r="VD86" s="26"/>
      <c r="VE86" s="26"/>
      <c r="VF86" s="26"/>
      <c r="VG86" s="26"/>
      <c r="VH86" s="26"/>
      <c r="VI86" s="26"/>
      <c r="VJ86" s="26"/>
      <c r="VK86" s="26"/>
      <c r="VL86" s="26"/>
      <c r="VM86" s="26"/>
      <c r="VN86" s="26"/>
      <c r="VO86" s="26"/>
      <c r="VP86" s="26"/>
      <c r="VQ86" s="26"/>
      <c r="VR86" s="26"/>
      <c r="VS86" s="26"/>
      <c r="VT86" s="26"/>
      <c r="VU86" s="26"/>
      <c r="VV86" s="26"/>
      <c r="VW86" s="26"/>
      <c r="VX86" s="26"/>
      <c r="VY86" s="26"/>
      <c r="VZ86" s="26"/>
      <c r="WA86" s="26"/>
      <c r="WB86" s="26"/>
      <c r="WC86" s="26"/>
      <c r="WD86" s="26"/>
      <c r="WE86" s="26"/>
      <c r="WF86" s="26"/>
      <c r="WG86" s="26"/>
      <c r="WH86" s="26"/>
      <c r="WI86" s="26"/>
      <c r="WJ86" s="26"/>
      <c r="WK86" s="26"/>
      <c r="WL86" s="26"/>
      <c r="WM86" s="26"/>
      <c r="WN86" s="26"/>
      <c r="WO86" s="26"/>
      <c r="WP86" s="26"/>
      <c r="WQ86" s="26"/>
      <c r="WR86" s="26"/>
      <c r="WS86" s="26"/>
      <c r="WT86" s="26"/>
      <c r="WU86" s="26"/>
      <c r="WV86" s="26"/>
      <c r="WW86" s="26"/>
      <c r="WX86" s="26"/>
      <c r="WY86" s="26"/>
      <c r="WZ86" s="26"/>
      <c r="XA86" s="26"/>
      <c r="XB86" s="26"/>
      <c r="XC86" s="26"/>
      <c r="XD86" s="26"/>
      <c r="XE86" s="26"/>
      <c r="XF86" s="26"/>
      <c r="XG86" s="26"/>
      <c r="XH86" s="26"/>
      <c r="XI86" s="26"/>
      <c r="XJ86" s="26"/>
      <c r="XK86" s="26"/>
      <c r="XL86" s="26"/>
      <c r="XM86" s="26"/>
      <c r="XN86" s="26"/>
      <c r="XO86" s="26"/>
      <c r="XP86" s="26"/>
      <c r="XQ86" s="26"/>
      <c r="XR86" s="26"/>
      <c r="XS86" s="26"/>
      <c r="XT86" s="26"/>
      <c r="XU86" s="26"/>
      <c r="XV86" s="26"/>
      <c r="XW86" s="26"/>
      <c r="XX86" s="26"/>
      <c r="XY86" s="26"/>
      <c r="XZ86" s="26"/>
      <c r="YA86" s="26"/>
      <c r="YB86" s="26"/>
      <c r="YC86" s="26"/>
      <c r="YD86" s="26"/>
      <c r="YE86" s="26"/>
      <c r="YF86" s="26"/>
      <c r="YG86" s="26"/>
      <c r="YH86" s="26"/>
      <c r="YI86" s="26"/>
      <c r="YJ86" s="26"/>
      <c r="YK86" s="26"/>
      <c r="YL86" s="26"/>
      <c r="YM86" s="26"/>
      <c r="YN86" s="26"/>
      <c r="YO86" s="26"/>
      <c r="YP86" s="26"/>
      <c r="YQ86" s="26"/>
      <c r="YR86" s="26"/>
      <c r="YS86" s="26"/>
      <c r="YT86" s="26"/>
      <c r="YU86" s="26"/>
      <c r="YV86" s="26"/>
      <c r="YW86" s="26"/>
      <c r="YX86" s="26"/>
      <c r="YY86" s="26"/>
      <c r="YZ86" s="26"/>
      <c r="ZA86" s="26"/>
      <c r="ZB86" s="26"/>
      <c r="ZC86" s="26"/>
      <c r="ZD86" s="26"/>
      <c r="ZE86" s="26"/>
      <c r="ZF86" s="26"/>
      <c r="ZG86" s="26"/>
      <c r="ZH86" s="26"/>
      <c r="ZI86" s="26"/>
      <c r="ZJ86" s="26"/>
      <c r="ZK86" s="26"/>
      <c r="ZL86" s="26"/>
      <c r="ZM86" s="26"/>
      <c r="ZN86" s="26"/>
      <c r="ZO86" s="26"/>
      <c r="ZP86" s="26"/>
      <c r="ZQ86" s="26"/>
      <c r="ZR86" s="26"/>
      <c r="ZS86" s="26"/>
      <c r="ZT86" s="26"/>
      <c r="ZU86" s="26"/>
      <c r="ZV86" s="26"/>
      <c r="ZW86" s="26"/>
      <c r="ZX86" s="26"/>
      <c r="ZY86" s="26"/>
      <c r="ZZ86" s="26"/>
      <c r="AAA86" s="26"/>
      <c r="AAB86" s="26"/>
      <c r="AAC86" s="26"/>
      <c r="AAD86" s="26"/>
      <c r="AAE86" s="26"/>
      <c r="AAF86" s="26"/>
      <c r="AAG86" s="26"/>
      <c r="AAH86" s="26"/>
      <c r="AAI86" s="26"/>
      <c r="AAJ86" s="26"/>
      <c r="AAK86" s="26"/>
      <c r="AAL86" s="26"/>
      <c r="AAM86" s="26"/>
      <c r="AAN86" s="26"/>
      <c r="AAO86" s="26"/>
      <c r="AAP86" s="26"/>
      <c r="AAQ86" s="26"/>
      <c r="AAR86" s="26"/>
      <c r="AAS86" s="26"/>
      <c r="AAT86" s="26"/>
      <c r="AAU86" s="26"/>
      <c r="AAV86" s="26"/>
      <c r="AAW86" s="26"/>
      <c r="AAX86" s="26"/>
      <c r="AAY86" s="26"/>
      <c r="AAZ86" s="26"/>
      <c r="ABA86" s="26"/>
      <c r="ABB86" s="26"/>
      <c r="ABC86" s="26"/>
      <c r="ABD86" s="26"/>
      <c r="ABE86" s="26"/>
      <c r="ABF86" s="26"/>
      <c r="ABG86" s="26"/>
      <c r="ABH86" s="26"/>
      <c r="ABI86" s="26"/>
      <c r="ABJ86" s="26"/>
      <c r="ABK86" s="26"/>
      <c r="ABL86" s="26"/>
      <c r="ABM86" s="26"/>
      <c r="ABN86" s="26"/>
      <c r="ABO86" s="26"/>
      <c r="ABP86" s="26"/>
      <c r="ABQ86" s="26"/>
      <c r="ABR86" s="26"/>
      <c r="ABS86" s="26"/>
      <c r="ABT86" s="26"/>
      <c r="ABU86" s="26"/>
      <c r="ABV86" s="26"/>
      <c r="ABW86" s="26"/>
      <c r="ABX86" s="26"/>
      <c r="ABY86" s="26"/>
      <c r="ABZ86" s="26"/>
      <c r="ACA86" s="26"/>
      <c r="ACB86" s="26"/>
      <c r="ACC86" s="26"/>
      <c r="ACD86" s="26"/>
      <c r="ACE86" s="26"/>
      <c r="ACF86" s="26"/>
      <c r="ACG86" s="26"/>
      <c r="ACH86" s="26"/>
      <c r="ACI86" s="26"/>
      <c r="ACJ86" s="26"/>
      <c r="ACK86" s="26"/>
      <c r="ACL86" s="26"/>
      <c r="ACM86" s="26"/>
      <c r="ACN86" s="26"/>
      <c r="ACO86" s="26"/>
      <c r="ACP86" s="26"/>
      <c r="ACQ86" s="26"/>
      <c r="ACR86" s="26"/>
      <c r="ACS86" s="26"/>
      <c r="ACT86" s="26"/>
      <c r="ACU86" s="26"/>
      <c r="ACV86" s="26"/>
      <c r="ACW86" s="26"/>
      <c r="ACX86" s="26"/>
      <c r="ACY86" s="26"/>
      <c r="ACZ86" s="26"/>
      <c r="ADA86" s="26"/>
      <c r="ADB86" s="26"/>
      <c r="ADC86" s="26"/>
      <c r="ADD86" s="26"/>
      <c r="ADE86" s="26"/>
      <c r="ADF86" s="26"/>
      <c r="ADG86" s="26"/>
      <c r="ADH86" s="26"/>
      <c r="ADI86" s="26"/>
      <c r="ADJ86" s="26"/>
      <c r="ADK86" s="26"/>
      <c r="ADL86" s="26"/>
      <c r="ADM86" s="26"/>
      <c r="ADN86" s="26"/>
      <c r="ADO86" s="26"/>
      <c r="ADP86" s="26"/>
      <c r="ADQ86" s="26"/>
      <c r="ADR86" s="26"/>
      <c r="ADS86" s="26"/>
      <c r="ADT86" s="26"/>
      <c r="ADU86" s="26"/>
      <c r="ADV86" s="26"/>
      <c r="ADW86" s="26"/>
      <c r="ADX86" s="26"/>
      <c r="ADY86" s="26"/>
      <c r="ADZ86" s="26"/>
      <c r="AEA86" s="26"/>
      <c r="AEB86" s="26"/>
      <c r="AEC86" s="26"/>
      <c r="AED86" s="26"/>
      <c r="AEE86" s="26"/>
      <c r="AEF86" s="26"/>
      <c r="AEG86" s="26"/>
      <c r="AEH86" s="26"/>
      <c r="AEI86" s="26"/>
      <c r="AEJ86" s="26"/>
      <c r="AEK86" s="26"/>
      <c r="AEL86" s="26"/>
      <c r="AEM86" s="26"/>
      <c r="AEN86" s="26"/>
      <c r="AEO86" s="26"/>
      <c r="AEP86" s="26"/>
      <c r="AEQ86" s="26"/>
      <c r="AER86" s="26"/>
      <c r="AES86" s="26"/>
      <c r="AET86" s="26"/>
      <c r="AEU86" s="26"/>
      <c r="AEV86" s="26"/>
      <c r="AEW86" s="26"/>
      <c r="AEX86" s="26"/>
      <c r="AEY86" s="26"/>
      <c r="AEZ86" s="26"/>
      <c r="AFA86" s="26"/>
      <c r="AFB86" s="26"/>
      <c r="AFC86" s="26"/>
      <c r="AFD86" s="26"/>
      <c r="AFE86" s="26"/>
      <c r="AFF86" s="26"/>
      <c r="AFG86" s="26"/>
      <c r="AFH86" s="26"/>
      <c r="AFI86" s="26"/>
      <c r="AFJ86" s="26"/>
      <c r="AFK86" s="26"/>
      <c r="AFL86" s="26"/>
      <c r="AFM86" s="26"/>
      <c r="AFN86" s="26"/>
      <c r="AFO86" s="26"/>
      <c r="AFP86" s="26"/>
      <c r="AFQ86" s="26"/>
      <c r="AFR86" s="26"/>
      <c r="AFS86" s="26"/>
      <c r="AFT86" s="26"/>
      <c r="AFU86" s="26"/>
      <c r="AFV86" s="26"/>
      <c r="AFW86" s="26"/>
      <c r="AFX86" s="26"/>
      <c r="AFY86" s="26"/>
      <c r="AFZ86" s="26"/>
      <c r="AGA86" s="26"/>
      <c r="AGB86" s="26"/>
      <c r="AGC86" s="26"/>
      <c r="AGD86" s="26"/>
      <c r="AGE86" s="26"/>
      <c r="AGF86" s="26"/>
      <c r="AGG86" s="26"/>
      <c r="AGH86" s="26"/>
      <c r="AGI86" s="26"/>
      <c r="AGJ86" s="26"/>
      <c r="AGK86" s="26"/>
      <c r="AGL86" s="26"/>
      <c r="AGM86" s="26"/>
      <c r="AGN86" s="26"/>
      <c r="AGO86" s="26"/>
      <c r="AGP86" s="26"/>
      <c r="AGQ86" s="26"/>
      <c r="AGR86" s="26"/>
      <c r="AGS86" s="26"/>
      <c r="AGT86" s="26"/>
      <c r="AGU86" s="26"/>
      <c r="AGV86" s="26"/>
      <c r="AGW86" s="26"/>
      <c r="AGX86" s="26"/>
      <c r="AGY86" s="26"/>
      <c r="AGZ86" s="26"/>
      <c r="AHA86" s="26"/>
      <c r="AHB86" s="26"/>
      <c r="AHC86" s="26"/>
      <c r="AHD86" s="26"/>
      <c r="AHE86" s="26"/>
      <c r="AHF86" s="26"/>
      <c r="AHG86" s="26"/>
      <c r="AHH86" s="26"/>
      <c r="AHI86" s="26"/>
      <c r="AHJ86" s="26"/>
      <c r="AHK86" s="26"/>
      <c r="AHL86" s="26"/>
      <c r="AHM86" s="26"/>
      <c r="AHN86" s="26"/>
      <c r="AHO86" s="26"/>
      <c r="AHP86" s="26"/>
      <c r="AHQ86" s="26"/>
      <c r="AHR86" s="26"/>
      <c r="AHS86" s="26"/>
      <c r="AHT86" s="26"/>
      <c r="AHU86" s="26"/>
      <c r="AHV86" s="26"/>
      <c r="AHW86" s="26"/>
      <c r="AHX86" s="26"/>
      <c r="AHY86" s="26"/>
      <c r="AHZ86" s="26"/>
      <c r="AIA86" s="26"/>
      <c r="AIB86" s="26"/>
      <c r="AIC86" s="26"/>
      <c r="AID86" s="26"/>
      <c r="AIE86" s="26"/>
      <c r="AIF86" s="26"/>
      <c r="AIG86" s="26"/>
      <c r="AIH86" s="26"/>
      <c r="AII86" s="26"/>
      <c r="AIJ86" s="26"/>
      <c r="AIK86" s="26"/>
      <c r="AIL86" s="26"/>
      <c r="AIM86" s="26"/>
      <c r="AIN86" s="26"/>
      <c r="AIO86" s="26"/>
      <c r="AIP86" s="26"/>
      <c r="AIQ86" s="26"/>
      <c r="AIR86" s="26"/>
      <c r="AIS86" s="26"/>
      <c r="AIT86" s="26"/>
      <c r="AIU86" s="26"/>
      <c r="AIV86" s="26"/>
      <c r="AIW86" s="26"/>
      <c r="AIX86" s="26"/>
      <c r="AIY86" s="26"/>
      <c r="AIZ86" s="26"/>
      <c r="AJA86" s="26"/>
      <c r="AJB86" s="26"/>
      <c r="AJC86" s="26"/>
      <c r="AJD86" s="26"/>
      <c r="AJE86" s="26"/>
      <c r="AJF86" s="26"/>
      <c r="AJG86" s="26"/>
      <c r="AJH86" s="26"/>
      <c r="AJI86" s="26"/>
      <c r="AJJ86" s="26"/>
      <c r="AJK86" s="26"/>
      <c r="AJL86" s="26"/>
      <c r="AJM86" s="26"/>
      <c r="AJN86" s="26"/>
      <c r="AJO86" s="26"/>
      <c r="AJP86" s="26"/>
      <c r="AJQ86" s="26"/>
      <c r="AJR86" s="26"/>
      <c r="AJS86" s="26"/>
      <c r="AJT86" s="26"/>
      <c r="AJU86" s="26"/>
      <c r="AJV86" s="26"/>
      <c r="AJW86" s="26"/>
      <c r="AJX86" s="26"/>
      <c r="AJY86" s="26"/>
      <c r="AJZ86" s="26"/>
      <c r="AKA86" s="26"/>
      <c r="AKB86" s="26"/>
      <c r="AKC86" s="26"/>
      <c r="AKD86" s="26"/>
      <c r="AKE86" s="26"/>
      <c r="AKF86" s="26"/>
      <c r="AKG86" s="26"/>
      <c r="AKH86" s="26"/>
      <c r="AKI86" s="26"/>
      <c r="AKJ86" s="26"/>
      <c r="AKK86" s="26"/>
      <c r="AKL86" s="26"/>
      <c r="AKM86" s="26"/>
      <c r="AKN86" s="26"/>
      <c r="AKO86" s="26"/>
      <c r="AKP86" s="26"/>
      <c r="AKQ86" s="26"/>
      <c r="AKR86" s="26"/>
      <c r="AKS86" s="26"/>
      <c r="AKT86" s="26"/>
      <c r="AKU86" s="26"/>
      <c r="AKV86" s="26"/>
      <c r="AKW86" s="26"/>
      <c r="AKX86" s="26"/>
      <c r="AKY86" s="26"/>
      <c r="AKZ86" s="26"/>
      <c r="ALA86" s="26"/>
      <c r="ALB86" s="26"/>
      <c r="ALC86" s="26"/>
      <c r="ALD86" s="26"/>
      <c r="ALE86" s="26"/>
      <c r="ALF86" s="26"/>
      <c r="ALG86" s="26"/>
      <c r="ALH86" s="26"/>
      <c r="ALI86" s="26"/>
      <c r="ALJ86" s="26"/>
      <c r="ALK86" s="26"/>
      <c r="ALL86" s="26"/>
      <c r="ALM86" s="26"/>
      <c r="ALN86" s="26"/>
      <c r="ALO86" s="26"/>
      <c r="ALP86" s="26"/>
      <c r="ALQ86" s="26"/>
      <c r="ALR86" s="26"/>
      <c r="ALS86" s="26"/>
      <c r="ALT86" s="26"/>
      <c r="ALU86" s="26"/>
      <c r="ALV86" s="26"/>
      <c r="ALW86" s="26"/>
      <c r="ALX86" s="26"/>
      <c r="ALY86" s="26"/>
      <c r="ALZ86" s="26"/>
      <c r="AMA86" s="26"/>
      <c r="AMB86" s="26"/>
      <c r="AMC86" s="26"/>
      <c r="AMD86" s="26"/>
      <c r="AME86" s="26"/>
      <c r="AMF86" s="26"/>
      <c r="AMG86" s="26"/>
      <c r="AMH86" s="26"/>
      <c r="AMI86" s="26"/>
      <c r="AMJ86" s="26"/>
    </row>
    <row r="87" spans="1:1024" s="28" customFormat="1">
      <c r="A87" s="76" t="s">
        <v>35</v>
      </c>
      <c r="B87" s="259"/>
      <c r="C87" s="260"/>
      <c r="D87" s="268" t="s">
        <v>36</v>
      </c>
      <c r="E87" s="269"/>
      <c r="F87" s="269"/>
      <c r="G87" s="269"/>
      <c r="H87" s="269"/>
      <c r="I87" s="270"/>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c r="OR87" s="26"/>
      <c r="OS87" s="26"/>
      <c r="OT87" s="26"/>
      <c r="OU87" s="26"/>
      <c r="OV87" s="26"/>
      <c r="OW87" s="26"/>
      <c r="OX87" s="26"/>
      <c r="OY87" s="26"/>
      <c r="OZ87" s="26"/>
      <c r="PA87" s="26"/>
      <c r="PB87" s="26"/>
      <c r="PC87" s="26"/>
      <c r="PD87" s="26"/>
      <c r="PE87" s="26"/>
      <c r="PF87" s="26"/>
      <c r="PG87" s="26"/>
      <c r="PH87" s="26"/>
      <c r="PI87" s="26"/>
      <c r="PJ87" s="26"/>
      <c r="PK87" s="26"/>
      <c r="PL87" s="26"/>
      <c r="PM87" s="26"/>
      <c r="PN87" s="26"/>
      <c r="PO87" s="26"/>
      <c r="PP87" s="26"/>
      <c r="PQ87" s="26"/>
      <c r="PR87" s="26"/>
      <c r="PS87" s="26"/>
      <c r="PT87" s="26"/>
      <c r="PU87" s="26"/>
      <c r="PV87" s="26"/>
      <c r="PW87" s="26"/>
      <c r="PX87" s="26"/>
      <c r="PY87" s="26"/>
      <c r="PZ87" s="26"/>
      <c r="QA87" s="26"/>
      <c r="QB87" s="26"/>
      <c r="QC87" s="26"/>
      <c r="QD87" s="26"/>
      <c r="QE87" s="26"/>
      <c r="QF87" s="26"/>
      <c r="QG87" s="26"/>
      <c r="QH87" s="26"/>
      <c r="QI87" s="26"/>
      <c r="QJ87" s="26"/>
      <c r="QK87" s="26"/>
      <c r="QL87" s="26"/>
      <c r="QM87" s="26"/>
      <c r="QN87" s="26"/>
      <c r="QO87" s="26"/>
      <c r="QP87" s="26"/>
      <c r="QQ87" s="26"/>
      <c r="QR87" s="26"/>
      <c r="QS87" s="26"/>
      <c r="QT87" s="26"/>
      <c r="QU87" s="26"/>
      <c r="QV87" s="26"/>
      <c r="QW87" s="26"/>
      <c r="QX87" s="26"/>
      <c r="QY87" s="26"/>
      <c r="QZ87" s="26"/>
      <c r="RA87" s="26"/>
      <c r="RB87" s="26"/>
      <c r="RC87" s="26"/>
      <c r="RD87" s="26"/>
      <c r="RE87" s="26"/>
      <c r="RF87" s="26"/>
      <c r="RG87" s="26"/>
      <c r="RH87" s="26"/>
      <c r="RI87" s="26"/>
      <c r="RJ87" s="26"/>
      <c r="RK87" s="26"/>
      <c r="RL87" s="26"/>
      <c r="RM87" s="26"/>
      <c r="RN87" s="26"/>
      <c r="RO87" s="26"/>
      <c r="RP87" s="26"/>
      <c r="RQ87" s="26"/>
      <c r="RR87" s="26"/>
      <c r="RS87" s="26"/>
      <c r="RT87" s="26"/>
      <c r="RU87" s="26"/>
      <c r="RV87" s="26"/>
      <c r="RW87" s="26"/>
      <c r="RX87" s="26"/>
      <c r="RY87" s="26"/>
      <c r="RZ87" s="26"/>
      <c r="SA87" s="26"/>
      <c r="SB87" s="26"/>
      <c r="SC87" s="26"/>
      <c r="SD87" s="26"/>
      <c r="SE87" s="26"/>
      <c r="SF87" s="26"/>
      <c r="SG87" s="26"/>
      <c r="SH87" s="26"/>
      <c r="SI87" s="26"/>
      <c r="SJ87" s="26"/>
      <c r="SK87" s="26"/>
      <c r="SL87" s="26"/>
      <c r="SM87" s="26"/>
      <c r="SN87" s="26"/>
      <c r="SO87" s="26"/>
      <c r="SP87" s="26"/>
      <c r="SQ87" s="26"/>
      <c r="SR87" s="26"/>
      <c r="SS87" s="26"/>
      <c r="ST87" s="26"/>
      <c r="SU87" s="26"/>
      <c r="SV87" s="26"/>
      <c r="SW87" s="26"/>
      <c r="SX87" s="26"/>
      <c r="SY87" s="26"/>
      <c r="SZ87" s="26"/>
      <c r="TA87" s="26"/>
      <c r="TB87" s="26"/>
      <c r="TC87" s="26"/>
      <c r="TD87" s="26"/>
      <c r="TE87" s="26"/>
      <c r="TF87" s="26"/>
      <c r="TG87" s="26"/>
      <c r="TH87" s="26"/>
      <c r="TI87" s="26"/>
      <c r="TJ87" s="26"/>
      <c r="TK87" s="26"/>
      <c r="TL87" s="26"/>
      <c r="TM87" s="26"/>
      <c r="TN87" s="26"/>
      <c r="TO87" s="26"/>
      <c r="TP87" s="26"/>
      <c r="TQ87" s="26"/>
      <c r="TR87" s="26"/>
      <c r="TS87" s="26"/>
      <c r="TT87" s="26"/>
      <c r="TU87" s="26"/>
      <c r="TV87" s="26"/>
      <c r="TW87" s="26"/>
      <c r="TX87" s="26"/>
      <c r="TY87" s="26"/>
      <c r="TZ87" s="26"/>
      <c r="UA87" s="26"/>
      <c r="UB87" s="26"/>
      <c r="UC87" s="26"/>
      <c r="UD87" s="26"/>
      <c r="UE87" s="26"/>
      <c r="UF87" s="26"/>
      <c r="UG87" s="26"/>
      <c r="UH87" s="26"/>
      <c r="UI87" s="26"/>
      <c r="UJ87" s="26"/>
      <c r="UK87" s="26"/>
      <c r="UL87" s="26"/>
      <c r="UM87" s="26"/>
      <c r="UN87" s="26"/>
      <c r="UO87" s="26"/>
      <c r="UP87" s="26"/>
      <c r="UQ87" s="26"/>
      <c r="UR87" s="26"/>
      <c r="US87" s="26"/>
      <c r="UT87" s="26"/>
      <c r="UU87" s="26"/>
      <c r="UV87" s="26"/>
      <c r="UW87" s="26"/>
      <c r="UX87" s="26"/>
      <c r="UY87" s="26"/>
      <c r="UZ87" s="26"/>
      <c r="VA87" s="26"/>
      <c r="VB87" s="26"/>
      <c r="VC87" s="26"/>
      <c r="VD87" s="26"/>
      <c r="VE87" s="26"/>
      <c r="VF87" s="26"/>
      <c r="VG87" s="26"/>
      <c r="VH87" s="26"/>
      <c r="VI87" s="26"/>
      <c r="VJ87" s="26"/>
      <c r="VK87" s="26"/>
      <c r="VL87" s="26"/>
      <c r="VM87" s="26"/>
      <c r="VN87" s="26"/>
      <c r="VO87" s="26"/>
      <c r="VP87" s="26"/>
      <c r="VQ87" s="26"/>
      <c r="VR87" s="26"/>
      <c r="VS87" s="26"/>
      <c r="VT87" s="26"/>
      <c r="VU87" s="26"/>
      <c r="VV87" s="26"/>
      <c r="VW87" s="26"/>
      <c r="VX87" s="26"/>
      <c r="VY87" s="26"/>
      <c r="VZ87" s="26"/>
      <c r="WA87" s="26"/>
      <c r="WB87" s="26"/>
      <c r="WC87" s="26"/>
      <c r="WD87" s="26"/>
      <c r="WE87" s="26"/>
      <c r="WF87" s="26"/>
      <c r="WG87" s="26"/>
      <c r="WH87" s="26"/>
      <c r="WI87" s="26"/>
      <c r="WJ87" s="26"/>
      <c r="WK87" s="26"/>
      <c r="WL87" s="26"/>
      <c r="WM87" s="26"/>
      <c r="WN87" s="26"/>
      <c r="WO87" s="26"/>
      <c r="WP87" s="26"/>
      <c r="WQ87" s="26"/>
      <c r="WR87" s="26"/>
      <c r="WS87" s="26"/>
      <c r="WT87" s="26"/>
      <c r="WU87" s="26"/>
      <c r="WV87" s="26"/>
      <c r="WW87" s="26"/>
      <c r="WX87" s="26"/>
      <c r="WY87" s="26"/>
      <c r="WZ87" s="26"/>
      <c r="XA87" s="26"/>
      <c r="XB87" s="26"/>
      <c r="XC87" s="26"/>
      <c r="XD87" s="26"/>
      <c r="XE87" s="26"/>
      <c r="XF87" s="26"/>
      <c r="XG87" s="26"/>
      <c r="XH87" s="26"/>
      <c r="XI87" s="26"/>
      <c r="XJ87" s="26"/>
      <c r="XK87" s="26"/>
      <c r="XL87" s="26"/>
      <c r="XM87" s="26"/>
      <c r="XN87" s="26"/>
      <c r="XO87" s="26"/>
      <c r="XP87" s="26"/>
      <c r="XQ87" s="26"/>
      <c r="XR87" s="26"/>
      <c r="XS87" s="26"/>
      <c r="XT87" s="26"/>
      <c r="XU87" s="26"/>
      <c r="XV87" s="26"/>
      <c r="XW87" s="26"/>
      <c r="XX87" s="26"/>
      <c r="XY87" s="26"/>
      <c r="XZ87" s="26"/>
      <c r="YA87" s="26"/>
      <c r="YB87" s="26"/>
      <c r="YC87" s="26"/>
      <c r="YD87" s="26"/>
      <c r="YE87" s="26"/>
      <c r="YF87" s="26"/>
      <c r="YG87" s="26"/>
      <c r="YH87" s="26"/>
      <c r="YI87" s="26"/>
      <c r="YJ87" s="26"/>
      <c r="YK87" s="26"/>
      <c r="YL87" s="26"/>
      <c r="YM87" s="26"/>
      <c r="YN87" s="26"/>
      <c r="YO87" s="26"/>
      <c r="YP87" s="26"/>
      <c r="YQ87" s="26"/>
      <c r="YR87" s="26"/>
      <c r="YS87" s="26"/>
      <c r="YT87" s="26"/>
      <c r="YU87" s="26"/>
      <c r="YV87" s="26"/>
      <c r="YW87" s="26"/>
      <c r="YX87" s="26"/>
      <c r="YY87" s="26"/>
      <c r="YZ87" s="26"/>
      <c r="ZA87" s="26"/>
      <c r="ZB87" s="26"/>
      <c r="ZC87" s="26"/>
      <c r="ZD87" s="26"/>
      <c r="ZE87" s="26"/>
      <c r="ZF87" s="26"/>
      <c r="ZG87" s="26"/>
      <c r="ZH87" s="26"/>
      <c r="ZI87" s="26"/>
      <c r="ZJ87" s="26"/>
      <c r="ZK87" s="26"/>
      <c r="ZL87" s="26"/>
      <c r="ZM87" s="26"/>
      <c r="ZN87" s="26"/>
      <c r="ZO87" s="26"/>
      <c r="ZP87" s="26"/>
      <c r="ZQ87" s="26"/>
      <c r="ZR87" s="26"/>
      <c r="ZS87" s="26"/>
      <c r="ZT87" s="26"/>
      <c r="ZU87" s="26"/>
      <c r="ZV87" s="26"/>
      <c r="ZW87" s="26"/>
      <c r="ZX87" s="26"/>
      <c r="ZY87" s="26"/>
      <c r="ZZ87" s="26"/>
      <c r="AAA87" s="26"/>
      <c r="AAB87" s="26"/>
      <c r="AAC87" s="26"/>
      <c r="AAD87" s="26"/>
      <c r="AAE87" s="26"/>
      <c r="AAF87" s="26"/>
      <c r="AAG87" s="26"/>
      <c r="AAH87" s="26"/>
      <c r="AAI87" s="26"/>
      <c r="AAJ87" s="26"/>
      <c r="AAK87" s="26"/>
      <c r="AAL87" s="26"/>
      <c r="AAM87" s="26"/>
      <c r="AAN87" s="26"/>
      <c r="AAO87" s="26"/>
      <c r="AAP87" s="26"/>
      <c r="AAQ87" s="26"/>
      <c r="AAR87" s="26"/>
      <c r="AAS87" s="26"/>
      <c r="AAT87" s="26"/>
      <c r="AAU87" s="26"/>
      <c r="AAV87" s="26"/>
      <c r="AAW87" s="26"/>
      <c r="AAX87" s="26"/>
      <c r="AAY87" s="26"/>
      <c r="AAZ87" s="26"/>
      <c r="ABA87" s="26"/>
      <c r="ABB87" s="26"/>
      <c r="ABC87" s="26"/>
      <c r="ABD87" s="26"/>
      <c r="ABE87" s="26"/>
      <c r="ABF87" s="26"/>
      <c r="ABG87" s="26"/>
      <c r="ABH87" s="26"/>
      <c r="ABI87" s="26"/>
      <c r="ABJ87" s="26"/>
      <c r="ABK87" s="26"/>
      <c r="ABL87" s="26"/>
      <c r="ABM87" s="26"/>
      <c r="ABN87" s="26"/>
      <c r="ABO87" s="26"/>
      <c r="ABP87" s="26"/>
      <c r="ABQ87" s="26"/>
      <c r="ABR87" s="26"/>
      <c r="ABS87" s="26"/>
      <c r="ABT87" s="26"/>
      <c r="ABU87" s="26"/>
      <c r="ABV87" s="26"/>
      <c r="ABW87" s="26"/>
      <c r="ABX87" s="26"/>
      <c r="ABY87" s="26"/>
      <c r="ABZ87" s="26"/>
      <c r="ACA87" s="26"/>
      <c r="ACB87" s="26"/>
      <c r="ACC87" s="26"/>
      <c r="ACD87" s="26"/>
      <c r="ACE87" s="26"/>
      <c r="ACF87" s="26"/>
      <c r="ACG87" s="26"/>
      <c r="ACH87" s="26"/>
      <c r="ACI87" s="26"/>
      <c r="ACJ87" s="26"/>
      <c r="ACK87" s="26"/>
      <c r="ACL87" s="26"/>
      <c r="ACM87" s="26"/>
      <c r="ACN87" s="26"/>
      <c r="ACO87" s="26"/>
      <c r="ACP87" s="26"/>
      <c r="ACQ87" s="26"/>
      <c r="ACR87" s="26"/>
      <c r="ACS87" s="26"/>
      <c r="ACT87" s="26"/>
      <c r="ACU87" s="26"/>
      <c r="ACV87" s="26"/>
      <c r="ACW87" s="26"/>
      <c r="ACX87" s="26"/>
      <c r="ACY87" s="26"/>
      <c r="ACZ87" s="26"/>
      <c r="ADA87" s="26"/>
      <c r="ADB87" s="26"/>
      <c r="ADC87" s="26"/>
      <c r="ADD87" s="26"/>
      <c r="ADE87" s="26"/>
      <c r="ADF87" s="26"/>
      <c r="ADG87" s="26"/>
      <c r="ADH87" s="26"/>
      <c r="ADI87" s="26"/>
      <c r="ADJ87" s="26"/>
      <c r="ADK87" s="26"/>
      <c r="ADL87" s="26"/>
      <c r="ADM87" s="26"/>
      <c r="ADN87" s="26"/>
      <c r="ADO87" s="26"/>
      <c r="ADP87" s="26"/>
      <c r="ADQ87" s="26"/>
      <c r="ADR87" s="26"/>
      <c r="ADS87" s="26"/>
      <c r="ADT87" s="26"/>
      <c r="ADU87" s="26"/>
      <c r="ADV87" s="26"/>
      <c r="ADW87" s="26"/>
      <c r="ADX87" s="26"/>
      <c r="ADY87" s="26"/>
      <c r="ADZ87" s="26"/>
      <c r="AEA87" s="26"/>
      <c r="AEB87" s="26"/>
      <c r="AEC87" s="26"/>
      <c r="AED87" s="26"/>
      <c r="AEE87" s="26"/>
      <c r="AEF87" s="26"/>
      <c r="AEG87" s="26"/>
      <c r="AEH87" s="26"/>
      <c r="AEI87" s="26"/>
      <c r="AEJ87" s="26"/>
      <c r="AEK87" s="26"/>
      <c r="AEL87" s="26"/>
      <c r="AEM87" s="26"/>
      <c r="AEN87" s="26"/>
      <c r="AEO87" s="26"/>
      <c r="AEP87" s="26"/>
      <c r="AEQ87" s="26"/>
      <c r="AER87" s="26"/>
      <c r="AES87" s="26"/>
      <c r="AET87" s="26"/>
      <c r="AEU87" s="26"/>
      <c r="AEV87" s="26"/>
      <c r="AEW87" s="26"/>
      <c r="AEX87" s="26"/>
      <c r="AEY87" s="26"/>
      <c r="AEZ87" s="26"/>
      <c r="AFA87" s="26"/>
      <c r="AFB87" s="26"/>
      <c r="AFC87" s="26"/>
      <c r="AFD87" s="26"/>
      <c r="AFE87" s="26"/>
      <c r="AFF87" s="26"/>
      <c r="AFG87" s="26"/>
      <c r="AFH87" s="26"/>
      <c r="AFI87" s="26"/>
      <c r="AFJ87" s="26"/>
      <c r="AFK87" s="26"/>
      <c r="AFL87" s="26"/>
      <c r="AFM87" s="26"/>
      <c r="AFN87" s="26"/>
      <c r="AFO87" s="26"/>
      <c r="AFP87" s="26"/>
      <c r="AFQ87" s="26"/>
      <c r="AFR87" s="26"/>
      <c r="AFS87" s="26"/>
      <c r="AFT87" s="26"/>
      <c r="AFU87" s="26"/>
      <c r="AFV87" s="26"/>
      <c r="AFW87" s="26"/>
      <c r="AFX87" s="26"/>
      <c r="AFY87" s="26"/>
      <c r="AFZ87" s="26"/>
      <c r="AGA87" s="26"/>
      <c r="AGB87" s="26"/>
      <c r="AGC87" s="26"/>
      <c r="AGD87" s="26"/>
      <c r="AGE87" s="26"/>
      <c r="AGF87" s="26"/>
      <c r="AGG87" s="26"/>
      <c r="AGH87" s="26"/>
      <c r="AGI87" s="26"/>
      <c r="AGJ87" s="26"/>
      <c r="AGK87" s="26"/>
      <c r="AGL87" s="26"/>
      <c r="AGM87" s="26"/>
      <c r="AGN87" s="26"/>
      <c r="AGO87" s="26"/>
      <c r="AGP87" s="26"/>
      <c r="AGQ87" s="26"/>
      <c r="AGR87" s="26"/>
      <c r="AGS87" s="26"/>
      <c r="AGT87" s="26"/>
      <c r="AGU87" s="26"/>
      <c r="AGV87" s="26"/>
      <c r="AGW87" s="26"/>
      <c r="AGX87" s="26"/>
      <c r="AGY87" s="26"/>
      <c r="AGZ87" s="26"/>
      <c r="AHA87" s="26"/>
      <c r="AHB87" s="26"/>
      <c r="AHC87" s="26"/>
      <c r="AHD87" s="26"/>
      <c r="AHE87" s="26"/>
      <c r="AHF87" s="26"/>
      <c r="AHG87" s="26"/>
      <c r="AHH87" s="26"/>
      <c r="AHI87" s="26"/>
      <c r="AHJ87" s="26"/>
      <c r="AHK87" s="26"/>
      <c r="AHL87" s="26"/>
      <c r="AHM87" s="26"/>
      <c r="AHN87" s="26"/>
      <c r="AHO87" s="26"/>
      <c r="AHP87" s="26"/>
      <c r="AHQ87" s="26"/>
      <c r="AHR87" s="26"/>
      <c r="AHS87" s="26"/>
      <c r="AHT87" s="26"/>
      <c r="AHU87" s="26"/>
      <c r="AHV87" s="26"/>
      <c r="AHW87" s="26"/>
      <c r="AHX87" s="26"/>
      <c r="AHY87" s="26"/>
      <c r="AHZ87" s="26"/>
      <c r="AIA87" s="26"/>
      <c r="AIB87" s="26"/>
      <c r="AIC87" s="26"/>
      <c r="AID87" s="26"/>
      <c r="AIE87" s="26"/>
      <c r="AIF87" s="26"/>
      <c r="AIG87" s="26"/>
      <c r="AIH87" s="26"/>
      <c r="AII87" s="26"/>
      <c r="AIJ87" s="26"/>
      <c r="AIK87" s="26"/>
      <c r="AIL87" s="26"/>
      <c r="AIM87" s="26"/>
      <c r="AIN87" s="26"/>
      <c r="AIO87" s="26"/>
      <c r="AIP87" s="26"/>
      <c r="AIQ87" s="26"/>
      <c r="AIR87" s="26"/>
      <c r="AIS87" s="26"/>
      <c r="AIT87" s="26"/>
      <c r="AIU87" s="26"/>
      <c r="AIV87" s="26"/>
      <c r="AIW87" s="26"/>
      <c r="AIX87" s="26"/>
      <c r="AIY87" s="26"/>
      <c r="AIZ87" s="26"/>
      <c r="AJA87" s="26"/>
      <c r="AJB87" s="26"/>
      <c r="AJC87" s="26"/>
      <c r="AJD87" s="26"/>
      <c r="AJE87" s="26"/>
      <c r="AJF87" s="26"/>
      <c r="AJG87" s="26"/>
      <c r="AJH87" s="26"/>
      <c r="AJI87" s="26"/>
      <c r="AJJ87" s="26"/>
      <c r="AJK87" s="26"/>
      <c r="AJL87" s="26"/>
      <c r="AJM87" s="26"/>
      <c r="AJN87" s="26"/>
      <c r="AJO87" s="26"/>
      <c r="AJP87" s="26"/>
      <c r="AJQ87" s="26"/>
      <c r="AJR87" s="26"/>
      <c r="AJS87" s="26"/>
      <c r="AJT87" s="26"/>
      <c r="AJU87" s="26"/>
      <c r="AJV87" s="26"/>
      <c r="AJW87" s="26"/>
      <c r="AJX87" s="26"/>
      <c r="AJY87" s="26"/>
      <c r="AJZ87" s="26"/>
      <c r="AKA87" s="26"/>
      <c r="AKB87" s="26"/>
      <c r="AKC87" s="26"/>
      <c r="AKD87" s="26"/>
      <c r="AKE87" s="26"/>
      <c r="AKF87" s="26"/>
      <c r="AKG87" s="26"/>
      <c r="AKH87" s="26"/>
      <c r="AKI87" s="26"/>
      <c r="AKJ87" s="26"/>
      <c r="AKK87" s="26"/>
      <c r="AKL87" s="26"/>
      <c r="AKM87" s="26"/>
      <c r="AKN87" s="26"/>
      <c r="AKO87" s="26"/>
      <c r="AKP87" s="26"/>
      <c r="AKQ87" s="26"/>
      <c r="AKR87" s="26"/>
      <c r="AKS87" s="26"/>
      <c r="AKT87" s="26"/>
      <c r="AKU87" s="26"/>
      <c r="AKV87" s="26"/>
      <c r="AKW87" s="26"/>
      <c r="AKX87" s="26"/>
      <c r="AKY87" s="26"/>
      <c r="AKZ87" s="26"/>
      <c r="ALA87" s="26"/>
      <c r="ALB87" s="26"/>
      <c r="ALC87" s="26"/>
      <c r="ALD87" s="26"/>
      <c r="ALE87" s="26"/>
      <c r="ALF87" s="26"/>
      <c r="ALG87" s="26"/>
      <c r="ALH87" s="26"/>
      <c r="ALI87" s="26"/>
      <c r="ALJ87" s="26"/>
      <c r="ALK87" s="26"/>
      <c r="ALL87" s="26"/>
      <c r="ALM87" s="26"/>
      <c r="ALN87" s="26"/>
      <c r="ALO87" s="26"/>
      <c r="ALP87" s="26"/>
      <c r="ALQ87" s="26"/>
      <c r="ALR87" s="26"/>
      <c r="ALS87" s="26"/>
      <c r="ALT87" s="26"/>
      <c r="ALU87" s="26"/>
      <c r="ALV87" s="26"/>
      <c r="ALW87" s="26"/>
      <c r="ALX87" s="26"/>
      <c r="ALY87" s="26"/>
      <c r="ALZ87" s="26"/>
      <c r="AMA87" s="26"/>
      <c r="AMB87" s="26"/>
      <c r="AMC87" s="26"/>
      <c r="AMD87" s="26"/>
      <c r="AME87" s="26"/>
      <c r="AMF87" s="26"/>
      <c r="AMG87" s="26"/>
      <c r="AMH87" s="26"/>
      <c r="AMI87" s="26"/>
      <c r="AMJ87" s="26"/>
    </row>
    <row r="88" spans="1:1024" s="25" customFormat="1" ht="25.5">
      <c r="A88" s="37" t="s">
        <v>366</v>
      </c>
      <c r="B88" s="37" t="s">
        <v>37</v>
      </c>
      <c r="C88" s="37" t="s">
        <v>12</v>
      </c>
      <c r="D88" s="24" t="s">
        <v>121</v>
      </c>
      <c r="E88" s="37" t="s">
        <v>15</v>
      </c>
      <c r="F88" s="35">
        <f>'MEMÓRIA DE CÁLCULO'!H411</f>
        <v>1122.9100000000001</v>
      </c>
      <c r="G88" s="35"/>
      <c r="H88" s="36">
        <f t="shared" ref="H88:H90" si="40">ROUND((G88*$I$10)+G88,2)</f>
        <v>0</v>
      </c>
      <c r="I88" s="71">
        <f t="shared" ref="I88:I90" si="41">ROUND(F88*H88,2)</f>
        <v>0</v>
      </c>
    </row>
    <row r="89" spans="1:1024" s="25" customFormat="1" ht="25.5">
      <c r="A89" s="188" t="s">
        <v>367</v>
      </c>
      <c r="B89" s="181" t="s">
        <v>203</v>
      </c>
      <c r="C89" s="181" t="s">
        <v>12</v>
      </c>
      <c r="D89" s="30" t="s">
        <v>204</v>
      </c>
      <c r="E89" s="181" t="s">
        <v>15</v>
      </c>
      <c r="F89" s="35">
        <f>'MEMÓRIA DE CÁLCULO'!H448</f>
        <v>169.55</v>
      </c>
      <c r="G89" s="35"/>
      <c r="H89" s="36">
        <f t="shared" si="40"/>
        <v>0</v>
      </c>
      <c r="I89" s="71">
        <f t="shared" si="41"/>
        <v>0</v>
      </c>
    </row>
    <row r="90" spans="1:1024" s="25" customFormat="1" ht="12.75">
      <c r="A90" s="188" t="s">
        <v>368</v>
      </c>
      <c r="B90" s="37" t="s">
        <v>38</v>
      </c>
      <c r="C90" s="37" t="s">
        <v>12</v>
      </c>
      <c r="D90" s="24" t="s">
        <v>122</v>
      </c>
      <c r="E90" s="37" t="s">
        <v>15</v>
      </c>
      <c r="F90" s="35">
        <f>'MEMÓRIA DE CÁLCULO'!H455</f>
        <v>4.5900000000000025</v>
      </c>
      <c r="G90" s="35"/>
      <c r="H90" s="36">
        <f t="shared" si="40"/>
        <v>0</v>
      </c>
      <c r="I90" s="71">
        <f t="shared" si="41"/>
        <v>0</v>
      </c>
    </row>
    <row r="91" spans="1:1024" s="25" customFormat="1" ht="12.75">
      <c r="A91" s="76" t="s">
        <v>39</v>
      </c>
      <c r="B91" s="259"/>
      <c r="C91" s="260"/>
      <c r="D91" s="268" t="s">
        <v>40</v>
      </c>
      <c r="E91" s="269"/>
      <c r="F91" s="269"/>
      <c r="G91" s="269"/>
      <c r="H91" s="269"/>
      <c r="I91" s="270"/>
    </row>
    <row r="92" spans="1:1024" s="25" customFormat="1" ht="25.5">
      <c r="A92" s="219" t="s">
        <v>369</v>
      </c>
      <c r="B92" s="219" t="s">
        <v>391</v>
      </c>
      <c r="C92" s="219" t="s">
        <v>12</v>
      </c>
      <c r="D92" s="24" t="s">
        <v>392</v>
      </c>
      <c r="E92" s="219" t="s">
        <v>15</v>
      </c>
      <c r="F92" s="35">
        <f>'MEMÓRIA DE CÁLCULO'!H490</f>
        <v>361.8</v>
      </c>
      <c r="G92" s="35"/>
      <c r="H92" s="36">
        <f t="shared" ref="H92" si="42">ROUND((G92*$I$10)+G92,2)</f>
        <v>0</v>
      </c>
      <c r="I92" s="71">
        <f t="shared" ref="I92" si="43">ROUND(F92*H92,2)</f>
        <v>0</v>
      </c>
    </row>
    <row r="93" spans="1:1024" s="25" customFormat="1" ht="12.75">
      <c r="A93" s="277" t="s">
        <v>370</v>
      </c>
      <c r="B93" s="278"/>
      <c r="C93" s="278"/>
      <c r="D93" s="278"/>
      <c r="E93" s="278"/>
      <c r="F93" s="278"/>
      <c r="G93" s="279"/>
      <c r="H93" s="312">
        <f>SUM(I88:I90)+SUM(I92:I92)</f>
        <v>0</v>
      </c>
      <c r="I93" s="313"/>
      <c r="L93" s="105"/>
    </row>
    <row r="94" spans="1:1024" s="25" customFormat="1" ht="12.75">
      <c r="A94" s="73">
        <v>11</v>
      </c>
      <c r="B94" s="271"/>
      <c r="C94" s="272"/>
      <c r="D94" s="287" t="s">
        <v>41</v>
      </c>
      <c r="E94" s="288"/>
      <c r="F94" s="288"/>
      <c r="G94" s="288"/>
      <c r="H94" s="289"/>
      <c r="I94" s="10">
        <f>H107</f>
        <v>0</v>
      </c>
    </row>
    <row r="95" spans="1:1024" s="25" customFormat="1" ht="12.75">
      <c r="A95" s="80" t="s">
        <v>84</v>
      </c>
      <c r="B95" s="80" t="s">
        <v>108</v>
      </c>
      <c r="C95" s="80" t="s">
        <v>12</v>
      </c>
      <c r="D95" s="68" t="s">
        <v>123</v>
      </c>
      <c r="E95" s="80" t="s">
        <v>15</v>
      </c>
      <c r="F95" s="79">
        <f>'MEMÓRIA DE CÁLCULO'!H496</f>
        <v>3277.2394999999997</v>
      </c>
      <c r="G95" s="79"/>
      <c r="H95" s="36">
        <f t="shared" ref="H95:H105" si="44">ROUND((G95*$I$10)+G95,2)</f>
        <v>0</v>
      </c>
      <c r="I95" s="71">
        <f t="shared" ref="I95:I103" si="45">ROUND(F95*H95,2)</f>
        <v>0</v>
      </c>
    </row>
    <row r="96" spans="1:1024" s="25" customFormat="1" ht="12.75">
      <c r="A96" s="80" t="s">
        <v>85</v>
      </c>
      <c r="B96" s="80">
        <v>88485</v>
      </c>
      <c r="C96" s="80" t="s">
        <v>14</v>
      </c>
      <c r="D96" s="68" t="s">
        <v>154</v>
      </c>
      <c r="E96" s="80" t="s">
        <v>15</v>
      </c>
      <c r="F96" s="79">
        <f>'MEMÓRIA DE CÁLCULO'!H528</f>
        <v>2283.6945000000001</v>
      </c>
      <c r="G96" s="79"/>
      <c r="H96" s="36">
        <f t="shared" si="44"/>
        <v>0</v>
      </c>
      <c r="I96" s="71">
        <f t="shared" si="45"/>
        <v>0</v>
      </c>
    </row>
    <row r="97" spans="1:1024" s="25" customFormat="1" ht="25.5">
      <c r="A97" s="80" t="s">
        <v>269</v>
      </c>
      <c r="B97" s="80">
        <v>88489</v>
      </c>
      <c r="C97" s="80" t="s">
        <v>14</v>
      </c>
      <c r="D97" s="24" t="s">
        <v>124</v>
      </c>
      <c r="E97" s="80" t="s">
        <v>15</v>
      </c>
      <c r="F97" s="79">
        <f>'MEMÓRIA DE CÁLCULO'!H560</f>
        <v>2283.6945000000001</v>
      </c>
      <c r="G97" s="79"/>
      <c r="H97" s="36">
        <f t="shared" si="44"/>
        <v>0</v>
      </c>
      <c r="I97" s="71">
        <f t="shared" si="45"/>
        <v>0</v>
      </c>
    </row>
    <row r="98" spans="1:1024" s="25" customFormat="1" ht="12.75">
      <c r="A98" s="80" t="s">
        <v>371</v>
      </c>
      <c r="B98" s="80" t="s">
        <v>109</v>
      </c>
      <c r="C98" s="80" t="s">
        <v>12</v>
      </c>
      <c r="D98" s="30" t="s">
        <v>125</v>
      </c>
      <c r="E98" s="80" t="s">
        <v>15</v>
      </c>
      <c r="F98" s="79">
        <f>'MEMÓRIA DE CÁLCULO'!H592</f>
        <v>389.81000000000006</v>
      </c>
      <c r="G98" s="79"/>
      <c r="H98" s="36">
        <f t="shared" si="44"/>
        <v>0</v>
      </c>
      <c r="I98" s="71">
        <f t="shared" si="45"/>
        <v>0</v>
      </c>
    </row>
    <row r="99" spans="1:1024" s="25" customFormat="1" ht="25.5">
      <c r="A99" s="80" t="s">
        <v>372</v>
      </c>
      <c r="B99" s="80" t="s">
        <v>226</v>
      </c>
      <c r="C99" s="80" t="s">
        <v>12</v>
      </c>
      <c r="D99" s="24" t="s">
        <v>227</v>
      </c>
      <c r="E99" s="80" t="s">
        <v>15</v>
      </c>
      <c r="F99" s="79">
        <f>'MEMÓRIA DE CÁLCULO'!H631</f>
        <v>570.33000000000004</v>
      </c>
      <c r="G99" s="79"/>
      <c r="H99" s="36">
        <f t="shared" si="44"/>
        <v>0</v>
      </c>
      <c r="I99" s="71">
        <f t="shared" si="45"/>
        <v>0</v>
      </c>
    </row>
    <row r="100" spans="1:1024" s="25" customFormat="1" ht="25.5">
      <c r="A100" s="80" t="s">
        <v>373</v>
      </c>
      <c r="B100" s="80" t="s">
        <v>153</v>
      </c>
      <c r="C100" s="80" t="s">
        <v>12</v>
      </c>
      <c r="D100" s="24" t="s">
        <v>228</v>
      </c>
      <c r="E100" s="80" t="s">
        <v>15</v>
      </c>
      <c r="F100" s="79">
        <f>'MEMÓRIA DE CÁLCULO'!H659</f>
        <v>570.33000000000004</v>
      </c>
      <c r="G100" s="79"/>
      <c r="H100" s="36">
        <f t="shared" si="44"/>
        <v>0</v>
      </c>
      <c r="I100" s="71">
        <f t="shared" si="45"/>
        <v>0</v>
      </c>
    </row>
    <row r="101" spans="1:1024" s="25" customFormat="1" ht="25.5">
      <c r="A101" s="80" t="s">
        <v>374</v>
      </c>
      <c r="B101" s="80" t="s">
        <v>43</v>
      </c>
      <c r="C101" s="80" t="s">
        <v>12</v>
      </c>
      <c r="D101" s="30" t="s">
        <v>126</v>
      </c>
      <c r="E101" s="80" t="s">
        <v>15</v>
      </c>
      <c r="F101" s="79">
        <f>'MEMÓRIA DE CÁLCULO'!H687</f>
        <v>389.81000000000006</v>
      </c>
      <c r="G101" s="79"/>
      <c r="H101" s="36">
        <f t="shared" si="44"/>
        <v>0</v>
      </c>
      <c r="I101" s="71">
        <f t="shared" si="45"/>
        <v>0</v>
      </c>
    </row>
    <row r="102" spans="1:1024" s="25" customFormat="1" ht="25.5">
      <c r="A102" s="80" t="s">
        <v>375</v>
      </c>
      <c r="B102" s="80" t="s">
        <v>190</v>
      </c>
      <c r="C102" s="80" t="s">
        <v>12</v>
      </c>
      <c r="D102" s="78" t="s">
        <v>191</v>
      </c>
      <c r="E102" s="80" t="s">
        <v>15</v>
      </c>
      <c r="F102" s="79">
        <f>'MEMÓRIA DE CÁLCULO'!H726</f>
        <v>129.36000000000001</v>
      </c>
      <c r="G102" s="79"/>
      <c r="H102" s="36">
        <f t="shared" si="44"/>
        <v>0</v>
      </c>
      <c r="I102" s="71">
        <f t="shared" si="45"/>
        <v>0</v>
      </c>
    </row>
    <row r="103" spans="1:1024" s="25" customFormat="1" ht="25.5">
      <c r="A103" s="80" t="s">
        <v>376</v>
      </c>
      <c r="B103" s="80" t="s">
        <v>42</v>
      </c>
      <c r="C103" s="80" t="s">
        <v>14</v>
      </c>
      <c r="D103" s="24" t="s">
        <v>127</v>
      </c>
      <c r="E103" s="80" t="s">
        <v>15</v>
      </c>
      <c r="F103" s="79">
        <f>'MEMÓRIA DE CÁLCULO'!H762</f>
        <v>129.36000000000001</v>
      </c>
      <c r="G103" s="79"/>
      <c r="H103" s="36">
        <f t="shared" si="44"/>
        <v>0</v>
      </c>
      <c r="I103" s="71">
        <f t="shared" si="45"/>
        <v>0</v>
      </c>
    </row>
    <row r="104" spans="1:1024" s="25" customFormat="1" ht="12.75">
      <c r="A104" s="80" t="s">
        <v>377</v>
      </c>
      <c r="B104" s="80">
        <v>72815</v>
      </c>
      <c r="C104" s="199" t="s">
        <v>14</v>
      </c>
      <c r="D104" s="77" t="s">
        <v>293</v>
      </c>
      <c r="E104" s="80" t="s">
        <v>15</v>
      </c>
      <c r="F104" s="79">
        <f>'MEMÓRIA DE CÁLCULO'!H798</f>
        <v>579</v>
      </c>
      <c r="G104" s="79"/>
      <c r="H104" s="36">
        <f t="shared" si="44"/>
        <v>0</v>
      </c>
      <c r="I104" s="71">
        <f t="shared" ref="I104:I105" si="46">ROUND(F104*H104,2)</f>
        <v>0</v>
      </c>
    </row>
    <row r="105" spans="1:1024" s="25" customFormat="1" ht="25.5">
      <c r="A105" s="80" t="s">
        <v>378</v>
      </c>
      <c r="B105" s="80" t="s">
        <v>292</v>
      </c>
      <c r="C105" s="199" t="s">
        <v>12</v>
      </c>
      <c r="D105" s="24" t="s">
        <v>294</v>
      </c>
      <c r="E105" s="80" t="s">
        <v>111</v>
      </c>
      <c r="F105" s="79">
        <f>'MEMÓRIA DE CÁLCULO'!H801</f>
        <v>160</v>
      </c>
      <c r="G105" s="79"/>
      <c r="H105" s="36">
        <f t="shared" si="44"/>
        <v>0</v>
      </c>
      <c r="I105" s="71">
        <f t="shared" si="46"/>
        <v>0</v>
      </c>
    </row>
    <row r="106" spans="1:1024" s="25" customFormat="1" ht="25.5">
      <c r="A106" s="80" t="s">
        <v>379</v>
      </c>
      <c r="B106" s="80" t="s">
        <v>772</v>
      </c>
      <c r="C106" s="199" t="s">
        <v>12</v>
      </c>
      <c r="D106" s="78" t="s">
        <v>773</v>
      </c>
      <c r="E106" s="80" t="s">
        <v>15</v>
      </c>
      <c r="F106" s="79">
        <f>'MEMÓRIA DE CÁLCULO'!H804</f>
        <v>180.20000000000002</v>
      </c>
      <c r="G106" s="79"/>
      <c r="H106" s="36">
        <f t="shared" ref="H106" si="47">ROUND((G106*$I$10)+G106,2)</f>
        <v>0</v>
      </c>
      <c r="I106" s="71">
        <f t="shared" ref="I106" si="48">ROUND(F106*H106,2)</f>
        <v>0</v>
      </c>
      <c r="L106" s="105"/>
    </row>
    <row r="107" spans="1:1024" s="25" customFormat="1" ht="12.75">
      <c r="A107" s="261" t="s">
        <v>286</v>
      </c>
      <c r="B107" s="262"/>
      <c r="C107" s="262"/>
      <c r="D107" s="262"/>
      <c r="E107" s="262"/>
      <c r="F107" s="262"/>
      <c r="G107" s="263"/>
      <c r="H107" s="257">
        <f>SUM(I95:I106)</f>
        <v>0</v>
      </c>
      <c r="I107" s="258"/>
    </row>
    <row r="108" spans="1:1024" s="25" customFormat="1" ht="12.75">
      <c r="A108" s="73">
        <v>12</v>
      </c>
      <c r="B108" s="271"/>
      <c r="C108" s="272"/>
      <c r="D108" s="287" t="s">
        <v>44</v>
      </c>
      <c r="E108" s="288"/>
      <c r="F108" s="288"/>
      <c r="G108" s="288"/>
      <c r="H108" s="289"/>
      <c r="I108" s="10">
        <f>H110</f>
        <v>2176.6</v>
      </c>
    </row>
    <row r="109" spans="1:1024" s="28" customFormat="1" ht="25.5">
      <c r="A109" s="62" t="s">
        <v>45</v>
      </c>
      <c r="B109" s="62" t="s">
        <v>129</v>
      </c>
      <c r="C109" s="62" t="s">
        <v>12</v>
      </c>
      <c r="D109" s="30" t="s">
        <v>130</v>
      </c>
      <c r="E109" s="62" t="s">
        <v>118</v>
      </c>
      <c r="F109" s="200">
        <f>'MEMÓRIA DE CÁLCULO'!H810</f>
        <v>20</v>
      </c>
      <c r="G109" s="195">
        <v>89.04</v>
      </c>
      <c r="H109" s="36">
        <f t="shared" ref="H109" si="49">ROUND((G109*$I$10)+G109,2)</f>
        <v>108.83</v>
      </c>
      <c r="I109" s="71">
        <f t="shared" ref="I109" si="50">ROUND(F109*H109,2)</f>
        <v>2176.6</v>
      </c>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c r="IW109" s="26"/>
      <c r="IX109" s="26"/>
      <c r="IY109" s="26"/>
      <c r="IZ109" s="26"/>
      <c r="JA109" s="26"/>
      <c r="JB109" s="26"/>
      <c r="JC109" s="26"/>
      <c r="JD109" s="26"/>
      <c r="JE109" s="26"/>
      <c r="JF109" s="26"/>
      <c r="JG109" s="26"/>
      <c r="JH109" s="26"/>
      <c r="JI109" s="26"/>
      <c r="JJ109" s="26"/>
      <c r="JK109" s="26"/>
      <c r="JL109" s="26"/>
      <c r="JM109" s="26"/>
      <c r="JN109" s="26"/>
      <c r="JO109" s="26"/>
      <c r="JP109" s="26"/>
      <c r="JQ109" s="26"/>
      <c r="JR109" s="26"/>
      <c r="JS109" s="26"/>
      <c r="JT109" s="26"/>
      <c r="JU109" s="26"/>
      <c r="JV109" s="26"/>
      <c r="JW109" s="26"/>
      <c r="JX109" s="26"/>
      <c r="JY109" s="26"/>
      <c r="JZ109" s="26"/>
      <c r="KA109" s="26"/>
      <c r="KB109" s="26"/>
      <c r="KC109" s="26"/>
      <c r="KD109" s="26"/>
      <c r="KE109" s="26"/>
      <c r="KF109" s="26"/>
      <c r="KG109" s="26"/>
      <c r="KH109" s="26"/>
      <c r="KI109" s="26"/>
      <c r="KJ109" s="26"/>
      <c r="KK109" s="26"/>
      <c r="KL109" s="26"/>
      <c r="KM109" s="26"/>
      <c r="KN109" s="26"/>
      <c r="KO109" s="26"/>
      <c r="KP109" s="26"/>
      <c r="KQ109" s="26"/>
      <c r="KR109" s="26"/>
      <c r="KS109" s="26"/>
      <c r="KT109" s="26"/>
      <c r="KU109" s="26"/>
      <c r="KV109" s="26"/>
      <c r="KW109" s="26"/>
      <c r="KX109" s="26"/>
      <c r="KY109" s="26"/>
      <c r="KZ109" s="26"/>
      <c r="LA109" s="26"/>
      <c r="LB109" s="26"/>
      <c r="LC109" s="26"/>
      <c r="LD109" s="26"/>
      <c r="LE109" s="26"/>
      <c r="LF109" s="26"/>
      <c r="LG109" s="26"/>
      <c r="LH109" s="26"/>
      <c r="LI109" s="26"/>
      <c r="LJ109" s="26"/>
      <c r="LK109" s="26"/>
      <c r="LL109" s="26"/>
      <c r="LM109" s="26"/>
      <c r="LN109" s="26"/>
      <c r="LO109" s="26"/>
      <c r="LP109" s="26"/>
      <c r="LQ109" s="26"/>
      <c r="LR109" s="26"/>
      <c r="LS109" s="26"/>
      <c r="LT109" s="26"/>
      <c r="LU109" s="26"/>
      <c r="LV109" s="26"/>
      <c r="LW109" s="26"/>
      <c r="LX109" s="26"/>
      <c r="LY109" s="26"/>
      <c r="LZ109" s="26"/>
      <c r="MA109" s="26"/>
      <c r="MB109" s="26"/>
      <c r="MC109" s="26"/>
      <c r="MD109" s="26"/>
      <c r="ME109" s="26"/>
      <c r="MF109" s="26"/>
      <c r="MG109" s="26"/>
      <c r="MH109" s="26"/>
      <c r="MI109" s="26"/>
      <c r="MJ109" s="26"/>
      <c r="MK109" s="26"/>
      <c r="ML109" s="26"/>
      <c r="MM109" s="26"/>
      <c r="MN109" s="26"/>
      <c r="MO109" s="26"/>
      <c r="MP109" s="26"/>
      <c r="MQ109" s="26"/>
      <c r="MR109" s="26"/>
      <c r="MS109" s="26"/>
      <c r="MT109" s="26"/>
      <c r="MU109" s="26"/>
      <c r="MV109" s="26"/>
      <c r="MW109" s="26"/>
      <c r="MX109" s="26"/>
      <c r="MY109" s="26"/>
      <c r="MZ109" s="26"/>
      <c r="NA109" s="26"/>
      <c r="NB109" s="26"/>
      <c r="NC109" s="26"/>
      <c r="ND109" s="26"/>
      <c r="NE109" s="26"/>
      <c r="NF109" s="26"/>
      <c r="NG109" s="26"/>
      <c r="NH109" s="26"/>
      <c r="NI109" s="26"/>
      <c r="NJ109" s="26"/>
      <c r="NK109" s="26"/>
      <c r="NL109" s="26"/>
      <c r="NM109" s="26"/>
      <c r="NN109" s="26"/>
      <c r="NO109" s="26"/>
      <c r="NP109" s="26"/>
      <c r="NQ109" s="26"/>
      <c r="NR109" s="26"/>
      <c r="NS109" s="26"/>
      <c r="NT109" s="26"/>
      <c r="NU109" s="26"/>
      <c r="NV109" s="26"/>
      <c r="NW109" s="26"/>
      <c r="NX109" s="26"/>
      <c r="NY109" s="26"/>
      <c r="NZ109" s="26"/>
      <c r="OA109" s="26"/>
      <c r="OB109" s="26"/>
      <c r="OC109" s="26"/>
      <c r="OD109" s="26"/>
      <c r="OE109" s="26"/>
      <c r="OF109" s="26"/>
      <c r="OG109" s="26"/>
      <c r="OH109" s="26"/>
      <c r="OI109" s="26"/>
      <c r="OJ109" s="26"/>
      <c r="OK109" s="26"/>
      <c r="OL109" s="26"/>
      <c r="OM109" s="26"/>
      <c r="ON109" s="26"/>
      <c r="OO109" s="26"/>
      <c r="OP109" s="26"/>
      <c r="OQ109" s="26"/>
      <c r="OR109" s="26"/>
      <c r="OS109" s="26"/>
      <c r="OT109" s="26"/>
      <c r="OU109" s="26"/>
      <c r="OV109" s="26"/>
      <c r="OW109" s="26"/>
      <c r="OX109" s="26"/>
      <c r="OY109" s="26"/>
      <c r="OZ109" s="26"/>
      <c r="PA109" s="26"/>
      <c r="PB109" s="26"/>
      <c r="PC109" s="26"/>
      <c r="PD109" s="26"/>
      <c r="PE109" s="26"/>
      <c r="PF109" s="26"/>
      <c r="PG109" s="26"/>
      <c r="PH109" s="26"/>
      <c r="PI109" s="26"/>
      <c r="PJ109" s="26"/>
      <c r="PK109" s="26"/>
      <c r="PL109" s="26"/>
      <c r="PM109" s="26"/>
      <c r="PN109" s="26"/>
      <c r="PO109" s="26"/>
      <c r="PP109" s="26"/>
      <c r="PQ109" s="26"/>
      <c r="PR109" s="26"/>
      <c r="PS109" s="26"/>
      <c r="PT109" s="26"/>
      <c r="PU109" s="26"/>
      <c r="PV109" s="26"/>
      <c r="PW109" s="26"/>
      <c r="PX109" s="26"/>
      <c r="PY109" s="26"/>
      <c r="PZ109" s="26"/>
      <c r="QA109" s="26"/>
      <c r="QB109" s="26"/>
      <c r="QC109" s="26"/>
      <c r="QD109" s="26"/>
      <c r="QE109" s="26"/>
      <c r="QF109" s="26"/>
      <c r="QG109" s="26"/>
      <c r="QH109" s="26"/>
      <c r="QI109" s="26"/>
      <c r="QJ109" s="26"/>
      <c r="QK109" s="26"/>
      <c r="QL109" s="26"/>
      <c r="QM109" s="26"/>
      <c r="QN109" s="26"/>
      <c r="QO109" s="26"/>
      <c r="QP109" s="26"/>
      <c r="QQ109" s="26"/>
      <c r="QR109" s="26"/>
      <c r="QS109" s="26"/>
      <c r="QT109" s="26"/>
      <c r="QU109" s="26"/>
      <c r="QV109" s="26"/>
      <c r="QW109" s="26"/>
      <c r="QX109" s="26"/>
      <c r="QY109" s="26"/>
      <c r="QZ109" s="26"/>
      <c r="RA109" s="26"/>
      <c r="RB109" s="26"/>
      <c r="RC109" s="26"/>
      <c r="RD109" s="26"/>
      <c r="RE109" s="26"/>
      <c r="RF109" s="26"/>
      <c r="RG109" s="26"/>
      <c r="RH109" s="26"/>
      <c r="RI109" s="26"/>
      <c r="RJ109" s="26"/>
      <c r="RK109" s="26"/>
      <c r="RL109" s="26"/>
      <c r="RM109" s="26"/>
      <c r="RN109" s="26"/>
      <c r="RO109" s="26"/>
      <c r="RP109" s="26"/>
      <c r="RQ109" s="26"/>
      <c r="RR109" s="26"/>
      <c r="RS109" s="26"/>
      <c r="RT109" s="26"/>
      <c r="RU109" s="26"/>
      <c r="RV109" s="26"/>
      <c r="RW109" s="26"/>
      <c r="RX109" s="26"/>
      <c r="RY109" s="26"/>
      <c r="RZ109" s="26"/>
      <c r="SA109" s="26"/>
      <c r="SB109" s="26"/>
      <c r="SC109" s="26"/>
      <c r="SD109" s="26"/>
      <c r="SE109" s="26"/>
      <c r="SF109" s="26"/>
      <c r="SG109" s="26"/>
      <c r="SH109" s="26"/>
      <c r="SI109" s="26"/>
      <c r="SJ109" s="26"/>
      <c r="SK109" s="26"/>
      <c r="SL109" s="26"/>
      <c r="SM109" s="26"/>
      <c r="SN109" s="26"/>
      <c r="SO109" s="26"/>
      <c r="SP109" s="26"/>
      <c r="SQ109" s="26"/>
      <c r="SR109" s="26"/>
      <c r="SS109" s="26"/>
      <c r="ST109" s="26"/>
      <c r="SU109" s="26"/>
      <c r="SV109" s="26"/>
      <c r="SW109" s="26"/>
      <c r="SX109" s="26"/>
      <c r="SY109" s="26"/>
      <c r="SZ109" s="26"/>
      <c r="TA109" s="26"/>
      <c r="TB109" s="26"/>
      <c r="TC109" s="26"/>
      <c r="TD109" s="26"/>
      <c r="TE109" s="26"/>
      <c r="TF109" s="26"/>
      <c r="TG109" s="26"/>
      <c r="TH109" s="26"/>
      <c r="TI109" s="26"/>
      <c r="TJ109" s="26"/>
      <c r="TK109" s="26"/>
      <c r="TL109" s="26"/>
      <c r="TM109" s="26"/>
      <c r="TN109" s="26"/>
      <c r="TO109" s="26"/>
      <c r="TP109" s="26"/>
      <c r="TQ109" s="26"/>
      <c r="TR109" s="26"/>
      <c r="TS109" s="26"/>
      <c r="TT109" s="26"/>
      <c r="TU109" s="26"/>
      <c r="TV109" s="26"/>
      <c r="TW109" s="26"/>
      <c r="TX109" s="26"/>
      <c r="TY109" s="26"/>
      <c r="TZ109" s="26"/>
      <c r="UA109" s="26"/>
      <c r="UB109" s="26"/>
      <c r="UC109" s="26"/>
      <c r="UD109" s="26"/>
      <c r="UE109" s="26"/>
      <c r="UF109" s="26"/>
      <c r="UG109" s="26"/>
      <c r="UH109" s="26"/>
      <c r="UI109" s="26"/>
      <c r="UJ109" s="26"/>
      <c r="UK109" s="26"/>
      <c r="UL109" s="26"/>
      <c r="UM109" s="26"/>
      <c r="UN109" s="26"/>
      <c r="UO109" s="26"/>
      <c r="UP109" s="26"/>
      <c r="UQ109" s="26"/>
      <c r="UR109" s="26"/>
      <c r="US109" s="26"/>
      <c r="UT109" s="26"/>
      <c r="UU109" s="26"/>
      <c r="UV109" s="26"/>
      <c r="UW109" s="26"/>
      <c r="UX109" s="26"/>
      <c r="UY109" s="26"/>
      <c r="UZ109" s="26"/>
      <c r="VA109" s="26"/>
      <c r="VB109" s="26"/>
      <c r="VC109" s="26"/>
      <c r="VD109" s="26"/>
      <c r="VE109" s="26"/>
      <c r="VF109" s="26"/>
      <c r="VG109" s="26"/>
      <c r="VH109" s="26"/>
      <c r="VI109" s="26"/>
      <c r="VJ109" s="26"/>
      <c r="VK109" s="26"/>
      <c r="VL109" s="26"/>
      <c r="VM109" s="26"/>
      <c r="VN109" s="26"/>
      <c r="VO109" s="26"/>
      <c r="VP109" s="26"/>
      <c r="VQ109" s="26"/>
      <c r="VR109" s="26"/>
      <c r="VS109" s="26"/>
      <c r="VT109" s="26"/>
      <c r="VU109" s="26"/>
      <c r="VV109" s="26"/>
      <c r="VW109" s="26"/>
      <c r="VX109" s="26"/>
      <c r="VY109" s="26"/>
      <c r="VZ109" s="26"/>
      <c r="WA109" s="26"/>
      <c r="WB109" s="26"/>
      <c r="WC109" s="26"/>
      <c r="WD109" s="26"/>
      <c r="WE109" s="26"/>
      <c r="WF109" s="26"/>
      <c r="WG109" s="26"/>
      <c r="WH109" s="26"/>
      <c r="WI109" s="26"/>
      <c r="WJ109" s="26"/>
      <c r="WK109" s="26"/>
      <c r="WL109" s="26"/>
      <c r="WM109" s="26"/>
      <c r="WN109" s="26"/>
      <c r="WO109" s="26"/>
      <c r="WP109" s="26"/>
      <c r="WQ109" s="26"/>
      <c r="WR109" s="26"/>
      <c r="WS109" s="26"/>
      <c r="WT109" s="26"/>
      <c r="WU109" s="26"/>
      <c r="WV109" s="26"/>
      <c r="WW109" s="26"/>
      <c r="WX109" s="26"/>
      <c r="WY109" s="26"/>
      <c r="WZ109" s="26"/>
      <c r="XA109" s="26"/>
      <c r="XB109" s="26"/>
      <c r="XC109" s="26"/>
      <c r="XD109" s="26"/>
      <c r="XE109" s="26"/>
      <c r="XF109" s="26"/>
      <c r="XG109" s="26"/>
      <c r="XH109" s="26"/>
      <c r="XI109" s="26"/>
      <c r="XJ109" s="26"/>
      <c r="XK109" s="26"/>
      <c r="XL109" s="26"/>
      <c r="XM109" s="26"/>
      <c r="XN109" s="26"/>
      <c r="XO109" s="26"/>
      <c r="XP109" s="26"/>
      <c r="XQ109" s="26"/>
      <c r="XR109" s="26"/>
      <c r="XS109" s="26"/>
      <c r="XT109" s="26"/>
      <c r="XU109" s="26"/>
      <c r="XV109" s="26"/>
      <c r="XW109" s="26"/>
      <c r="XX109" s="26"/>
      <c r="XY109" s="26"/>
      <c r="XZ109" s="26"/>
      <c r="YA109" s="26"/>
      <c r="YB109" s="26"/>
      <c r="YC109" s="26"/>
      <c r="YD109" s="26"/>
      <c r="YE109" s="26"/>
      <c r="YF109" s="26"/>
      <c r="YG109" s="26"/>
      <c r="YH109" s="26"/>
      <c r="YI109" s="26"/>
      <c r="YJ109" s="26"/>
      <c r="YK109" s="26"/>
      <c r="YL109" s="26"/>
      <c r="YM109" s="26"/>
      <c r="YN109" s="26"/>
      <c r="YO109" s="26"/>
      <c r="YP109" s="26"/>
      <c r="YQ109" s="26"/>
      <c r="YR109" s="26"/>
      <c r="YS109" s="26"/>
      <c r="YT109" s="26"/>
      <c r="YU109" s="26"/>
      <c r="YV109" s="26"/>
      <c r="YW109" s="26"/>
      <c r="YX109" s="26"/>
      <c r="YY109" s="26"/>
      <c r="YZ109" s="26"/>
      <c r="ZA109" s="26"/>
      <c r="ZB109" s="26"/>
      <c r="ZC109" s="26"/>
      <c r="ZD109" s="26"/>
      <c r="ZE109" s="26"/>
      <c r="ZF109" s="26"/>
      <c r="ZG109" s="26"/>
      <c r="ZH109" s="26"/>
      <c r="ZI109" s="26"/>
      <c r="ZJ109" s="26"/>
      <c r="ZK109" s="26"/>
      <c r="ZL109" s="26"/>
      <c r="ZM109" s="26"/>
      <c r="ZN109" s="26"/>
      <c r="ZO109" s="26"/>
      <c r="ZP109" s="26"/>
      <c r="ZQ109" s="26"/>
      <c r="ZR109" s="26"/>
      <c r="ZS109" s="26"/>
      <c r="ZT109" s="26"/>
      <c r="ZU109" s="26"/>
      <c r="ZV109" s="26"/>
      <c r="ZW109" s="26"/>
      <c r="ZX109" s="26"/>
      <c r="ZY109" s="26"/>
      <c r="ZZ109" s="26"/>
      <c r="AAA109" s="26"/>
      <c r="AAB109" s="26"/>
      <c r="AAC109" s="26"/>
      <c r="AAD109" s="26"/>
      <c r="AAE109" s="26"/>
      <c r="AAF109" s="26"/>
      <c r="AAG109" s="26"/>
      <c r="AAH109" s="26"/>
      <c r="AAI109" s="26"/>
      <c r="AAJ109" s="26"/>
      <c r="AAK109" s="26"/>
      <c r="AAL109" s="26"/>
      <c r="AAM109" s="26"/>
      <c r="AAN109" s="26"/>
      <c r="AAO109" s="26"/>
      <c r="AAP109" s="26"/>
      <c r="AAQ109" s="26"/>
      <c r="AAR109" s="26"/>
      <c r="AAS109" s="26"/>
      <c r="AAT109" s="26"/>
      <c r="AAU109" s="26"/>
      <c r="AAV109" s="26"/>
      <c r="AAW109" s="26"/>
      <c r="AAX109" s="26"/>
      <c r="AAY109" s="26"/>
      <c r="AAZ109" s="26"/>
      <c r="ABA109" s="26"/>
      <c r="ABB109" s="26"/>
      <c r="ABC109" s="26"/>
      <c r="ABD109" s="26"/>
      <c r="ABE109" s="26"/>
      <c r="ABF109" s="26"/>
      <c r="ABG109" s="26"/>
      <c r="ABH109" s="26"/>
      <c r="ABI109" s="26"/>
      <c r="ABJ109" s="26"/>
      <c r="ABK109" s="26"/>
      <c r="ABL109" s="26"/>
      <c r="ABM109" s="26"/>
      <c r="ABN109" s="26"/>
      <c r="ABO109" s="26"/>
      <c r="ABP109" s="26"/>
      <c r="ABQ109" s="26"/>
      <c r="ABR109" s="26"/>
      <c r="ABS109" s="26"/>
      <c r="ABT109" s="26"/>
      <c r="ABU109" s="26"/>
      <c r="ABV109" s="26"/>
      <c r="ABW109" s="26"/>
      <c r="ABX109" s="26"/>
      <c r="ABY109" s="26"/>
      <c r="ABZ109" s="26"/>
      <c r="ACA109" s="26"/>
      <c r="ACB109" s="26"/>
      <c r="ACC109" s="26"/>
      <c r="ACD109" s="26"/>
      <c r="ACE109" s="26"/>
      <c r="ACF109" s="26"/>
      <c r="ACG109" s="26"/>
      <c r="ACH109" s="26"/>
      <c r="ACI109" s="26"/>
      <c r="ACJ109" s="26"/>
      <c r="ACK109" s="26"/>
      <c r="ACL109" s="26"/>
      <c r="ACM109" s="26"/>
      <c r="ACN109" s="26"/>
      <c r="ACO109" s="26"/>
      <c r="ACP109" s="26"/>
      <c r="ACQ109" s="26"/>
      <c r="ACR109" s="26"/>
      <c r="ACS109" s="26"/>
      <c r="ACT109" s="26"/>
      <c r="ACU109" s="26"/>
      <c r="ACV109" s="26"/>
      <c r="ACW109" s="26"/>
      <c r="ACX109" s="26"/>
      <c r="ACY109" s="26"/>
      <c r="ACZ109" s="26"/>
      <c r="ADA109" s="26"/>
      <c r="ADB109" s="26"/>
      <c r="ADC109" s="26"/>
      <c r="ADD109" s="26"/>
      <c r="ADE109" s="26"/>
      <c r="ADF109" s="26"/>
      <c r="ADG109" s="26"/>
      <c r="ADH109" s="26"/>
      <c r="ADI109" s="26"/>
      <c r="ADJ109" s="26"/>
      <c r="ADK109" s="26"/>
      <c r="ADL109" s="26"/>
      <c r="ADM109" s="26"/>
      <c r="ADN109" s="26"/>
      <c r="ADO109" s="26"/>
      <c r="ADP109" s="26"/>
      <c r="ADQ109" s="26"/>
      <c r="ADR109" s="26"/>
      <c r="ADS109" s="26"/>
      <c r="ADT109" s="26"/>
      <c r="ADU109" s="26"/>
      <c r="ADV109" s="26"/>
      <c r="ADW109" s="26"/>
      <c r="ADX109" s="26"/>
      <c r="ADY109" s="26"/>
      <c r="ADZ109" s="26"/>
      <c r="AEA109" s="26"/>
      <c r="AEB109" s="26"/>
      <c r="AEC109" s="26"/>
      <c r="AED109" s="26"/>
      <c r="AEE109" s="26"/>
      <c r="AEF109" s="26"/>
      <c r="AEG109" s="26"/>
      <c r="AEH109" s="26"/>
      <c r="AEI109" s="26"/>
      <c r="AEJ109" s="26"/>
      <c r="AEK109" s="26"/>
      <c r="AEL109" s="26"/>
      <c r="AEM109" s="26"/>
      <c r="AEN109" s="26"/>
      <c r="AEO109" s="26"/>
      <c r="AEP109" s="26"/>
      <c r="AEQ109" s="26"/>
      <c r="AER109" s="26"/>
      <c r="AES109" s="26"/>
      <c r="AET109" s="26"/>
      <c r="AEU109" s="26"/>
      <c r="AEV109" s="26"/>
      <c r="AEW109" s="26"/>
      <c r="AEX109" s="26"/>
      <c r="AEY109" s="26"/>
      <c r="AEZ109" s="26"/>
      <c r="AFA109" s="26"/>
      <c r="AFB109" s="26"/>
      <c r="AFC109" s="26"/>
      <c r="AFD109" s="26"/>
      <c r="AFE109" s="26"/>
      <c r="AFF109" s="26"/>
      <c r="AFG109" s="26"/>
      <c r="AFH109" s="26"/>
      <c r="AFI109" s="26"/>
      <c r="AFJ109" s="26"/>
      <c r="AFK109" s="26"/>
      <c r="AFL109" s="26"/>
      <c r="AFM109" s="26"/>
      <c r="AFN109" s="26"/>
      <c r="AFO109" s="26"/>
      <c r="AFP109" s="26"/>
      <c r="AFQ109" s="26"/>
      <c r="AFR109" s="26"/>
      <c r="AFS109" s="26"/>
      <c r="AFT109" s="26"/>
      <c r="AFU109" s="26"/>
      <c r="AFV109" s="26"/>
      <c r="AFW109" s="26"/>
      <c r="AFX109" s="26"/>
      <c r="AFY109" s="26"/>
      <c r="AFZ109" s="26"/>
      <c r="AGA109" s="26"/>
      <c r="AGB109" s="26"/>
      <c r="AGC109" s="26"/>
      <c r="AGD109" s="26"/>
      <c r="AGE109" s="26"/>
      <c r="AGF109" s="26"/>
      <c r="AGG109" s="26"/>
      <c r="AGH109" s="26"/>
      <c r="AGI109" s="26"/>
      <c r="AGJ109" s="26"/>
      <c r="AGK109" s="26"/>
      <c r="AGL109" s="26"/>
      <c r="AGM109" s="26"/>
      <c r="AGN109" s="26"/>
      <c r="AGO109" s="26"/>
      <c r="AGP109" s="26"/>
      <c r="AGQ109" s="26"/>
      <c r="AGR109" s="26"/>
      <c r="AGS109" s="26"/>
      <c r="AGT109" s="26"/>
      <c r="AGU109" s="26"/>
      <c r="AGV109" s="26"/>
      <c r="AGW109" s="26"/>
      <c r="AGX109" s="26"/>
      <c r="AGY109" s="26"/>
      <c r="AGZ109" s="26"/>
      <c r="AHA109" s="26"/>
      <c r="AHB109" s="26"/>
      <c r="AHC109" s="26"/>
      <c r="AHD109" s="26"/>
      <c r="AHE109" s="26"/>
      <c r="AHF109" s="26"/>
      <c r="AHG109" s="26"/>
      <c r="AHH109" s="26"/>
      <c r="AHI109" s="26"/>
      <c r="AHJ109" s="26"/>
      <c r="AHK109" s="26"/>
      <c r="AHL109" s="26"/>
      <c r="AHM109" s="26"/>
      <c r="AHN109" s="26"/>
      <c r="AHO109" s="26"/>
      <c r="AHP109" s="26"/>
      <c r="AHQ109" s="26"/>
      <c r="AHR109" s="26"/>
      <c r="AHS109" s="26"/>
      <c r="AHT109" s="26"/>
      <c r="AHU109" s="26"/>
      <c r="AHV109" s="26"/>
      <c r="AHW109" s="26"/>
      <c r="AHX109" s="26"/>
      <c r="AHY109" s="26"/>
      <c r="AHZ109" s="26"/>
      <c r="AIA109" s="26"/>
      <c r="AIB109" s="26"/>
      <c r="AIC109" s="26"/>
      <c r="AID109" s="26"/>
      <c r="AIE109" s="26"/>
      <c r="AIF109" s="26"/>
      <c r="AIG109" s="26"/>
      <c r="AIH109" s="26"/>
      <c r="AII109" s="26"/>
      <c r="AIJ109" s="26"/>
      <c r="AIK109" s="26"/>
      <c r="AIL109" s="26"/>
      <c r="AIM109" s="26"/>
      <c r="AIN109" s="26"/>
      <c r="AIO109" s="26"/>
      <c r="AIP109" s="26"/>
      <c r="AIQ109" s="26"/>
      <c r="AIR109" s="26"/>
      <c r="AIS109" s="26"/>
      <c r="AIT109" s="26"/>
      <c r="AIU109" s="26"/>
      <c r="AIV109" s="26"/>
      <c r="AIW109" s="26"/>
      <c r="AIX109" s="26"/>
      <c r="AIY109" s="26"/>
      <c r="AIZ109" s="26"/>
      <c r="AJA109" s="26"/>
      <c r="AJB109" s="26"/>
      <c r="AJC109" s="26"/>
      <c r="AJD109" s="26"/>
      <c r="AJE109" s="26"/>
      <c r="AJF109" s="26"/>
      <c r="AJG109" s="26"/>
      <c r="AJH109" s="26"/>
      <c r="AJI109" s="26"/>
      <c r="AJJ109" s="26"/>
      <c r="AJK109" s="26"/>
      <c r="AJL109" s="26"/>
      <c r="AJM109" s="26"/>
      <c r="AJN109" s="26"/>
      <c r="AJO109" s="26"/>
      <c r="AJP109" s="26"/>
      <c r="AJQ109" s="26"/>
      <c r="AJR109" s="26"/>
      <c r="AJS109" s="26"/>
      <c r="AJT109" s="26"/>
      <c r="AJU109" s="26"/>
      <c r="AJV109" s="26"/>
      <c r="AJW109" s="26"/>
      <c r="AJX109" s="26"/>
      <c r="AJY109" s="26"/>
      <c r="AJZ109" s="26"/>
      <c r="AKA109" s="26"/>
      <c r="AKB109" s="26"/>
      <c r="AKC109" s="26"/>
      <c r="AKD109" s="26"/>
      <c r="AKE109" s="26"/>
      <c r="AKF109" s="26"/>
      <c r="AKG109" s="26"/>
      <c r="AKH109" s="26"/>
      <c r="AKI109" s="26"/>
      <c r="AKJ109" s="26"/>
      <c r="AKK109" s="26"/>
      <c r="AKL109" s="26"/>
      <c r="AKM109" s="26"/>
      <c r="AKN109" s="26"/>
      <c r="AKO109" s="26"/>
      <c r="AKP109" s="26"/>
      <c r="AKQ109" s="26"/>
      <c r="AKR109" s="26"/>
      <c r="AKS109" s="26"/>
      <c r="AKT109" s="26"/>
      <c r="AKU109" s="26"/>
      <c r="AKV109" s="26"/>
      <c r="AKW109" s="26"/>
      <c r="AKX109" s="26"/>
      <c r="AKY109" s="26"/>
      <c r="AKZ109" s="26"/>
      <c r="ALA109" s="26"/>
      <c r="ALB109" s="26"/>
      <c r="ALC109" s="26"/>
      <c r="ALD109" s="26"/>
      <c r="ALE109" s="26"/>
      <c r="ALF109" s="26"/>
      <c r="ALG109" s="26"/>
      <c r="ALH109" s="26"/>
      <c r="ALI109" s="26"/>
      <c r="ALJ109" s="26"/>
      <c r="ALK109" s="26"/>
      <c r="ALL109" s="26"/>
      <c r="ALM109" s="26"/>
      <c r="ALN109" s="26"/>
      <c r="ALO109" s="26"/>
      <c r="ALP109" s="26"/>
      <c r="ALQ109" s="26"/>
      <c r="ALR109" s="26"/>
      <c r="ALS109" s="26"/>
      <c r="ALT109" s="26"/>
      <c r="ALU109" s="26"/>
      <c r="ALV109" s="26"/>
      <c r="ALW109" s="26"/>
      <c r="ALX109" s="26"/>
      <c r="ALY109" s="26"/>
      <c r="ALZ109" s="26"/>
      <c r="AMA109" s="26"/>
      <c r="AMB109" s="26"/>
      <c r="AMC109" s="26"/>
      <c r="AMD109" s="26"/>
      <c r="AME109" s="26"/>
      <c r="AMF109" s="26"/>
      <c r="AMG109" s="26"/>
      <c r="AMH109" s="26"/>
      <c r="AMI109" s="26"/>
      <c r="AMJ109" s="26"/>
    </row>
    <row r="110" spans="1:1024" s="28" customFormat="1">
      <c r="A110" s="274" t="s">
        <v>287</v>
      </c>
      <c r="B110" s="275"/>
      <c r="C110" s="275"/>
      <c r="D110" s="275"/>
      <c r="E110" s="275"/>
      <c r="F110" s="275"/>
      <c r="G110" s="276"/>
      <c r="H110" s="280">
        <f>SUM(I109:I109)</f>
        <v>2176.6</v>
      </c>
      <c r="I110" s="281"/>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c r="IW110" s="26"/>
      <c r="IX110" s="26"/>
      <c r="IY110" s="26"/>
      <c r="IZ110" s="26"/>
      <c r="JA110" s="26"/>
      <c r="JB110" s="26"/>
      <c r="JC110" s="26"/>
      <c r="JD110" s="26"/>
      <c r="JE110" s="26"/>
      <c r="JF110" s="26"/>
      <c r="JG110" s="26"/>
      <c r="JH110" s="26"/>
      <c r="JI110" s="26"/>
      <c r="JJ110" s="26"/>
      <c r="JK110" s="26"/>
      <c r="JL110" s="26"/>
      <c r="JM110" s="26"/>
      <c r="JN110" s="26"/>
      <c r="JO110" s="26"/>
      <c r="JP110" s="26"/>
      <c r="JQ110" s="26"/>
      <c r="JR110" s="26"/>
      <c r="JS110" s="26"/>
      <c r="JT110" s="26"/>
      <c r="JU110" s="26"/>
      <c r="JV110" s="26"/>
      <c r="JW110" s="26"/>
      <c r="JX110" s="26"/>
      <c r="JY110" s="26"/>
      <c r="JZ110" s="26"/>
      <c r="KA110" s="26"/>
      <c r="KB110" s="26"/>
      <c r="KC110" s="26"/>
      <c r="KD110" s="26"/>
      <c r="KE110" s="26"/>
      <c r="KF110" s="26"/>
      <c r="KG110" s="26"/>
      <c r="KH110" s="26"/>
      <c r="KI110" s="26"/>
      <c r="KJ110" s="26"/>
      <c r="KK110" s="26"/>
      <c r="KL110" s="26"/>
      <c r="KM110" s="26"/>
      <c r="KN110" s="26"/>
      <c r="KO110" s="26"/>
      <c r="KP110" s="26"/>
      <c r="KQ110" s="26"/>
      <c r="KR110" s="26"/>
      <c r="KS110" s="26"/>
      <c r="KT110" s="26"/>
      <c r="KU110" s="26"/>
      <c r="KV110" s="26"/>
      <c r="KW110" s="26"/>
      <c r="KX110" s="26"/>
      <c r="KY110" s="26"/>
      <c r="KZ110" s="26"/>
      <c r="LA110" s="26"/>
      <c r="LB110" s="26"/>
      <c r="LC110" s="26"/>
      <c r="LD110" s="26"/>
      <c r="LE110" s="26"/>
      <c r="LF110" s="26"/>
      <c r="LG110" s="26"/>
      <c r="LH110" s="26"/>
      <c r="LI110" s="26"/>
      <c r="LJ110" s="26"/>
      <c r="LK110" s="26"/>
      <c r="LL110" s="26"/>
      <c r="LM110" s="26"/>
      <c r="LN110" s="26"/>
      <c r="LO110" s="26"/>
      <c r="LP110" s="26"/>
      <c r="LQ110" s="26"/>
      <c r="LR110" s="26"/>
      <c r="LS110" s="26"/>
      <c r="LT110" s="26"/>
      <c r="LU110" s="26"/>
      <c r="LV110" s="26"/>
      <c r="LW110" s="26"/>
      <c r="LX110" s="26"/>
      <c r="LY110" s="26"/>
      <c r="LZ110" s="26"/>
      <c r="MA110" s="26"/>
      <c r="MB110" s="26"/>
      <c r="MC110" s="26"/>
      <c r="MD110" s="26"/>
      <c r="ME110" s="26"/>
      <c r="MF110" s="26"/>
      <c r="MG110" s="26"/>
      <c r="MH110" s="26"/>
      <c r="MI110" s="26"/>
      <c r="MJ110" s="26"/>
      <c r="MK110" s="26"/>
      <c r="ML110" s="26"/>
      <c r="MM110" s="26"/>
      <c r="MN110" s="26"/>
      <c r="MO110" s="26"/>
      <c r="MP110" s="26"/>
      <c r="MQ110" s="26"/>
      <c r="MR110" s="26"/>
      <c r="MS110" s="26"/>
      <c r="MT110" s="26"/>
      <c r="MU110" s="26"/>
      <c r="MV110" s="26"/>
      <c r="MW110" s="26"/>
      <c r="MX110" s="26"/>
      <c r="MY110" s="26"/>
      <c r="MZ110" s="26"/>
      <c r="NA110" s="26"/>
      <c r="NB110" s="26"/>
      <c r="NC110" s="26"/>
      <c r="ND110" s="26"/>
      <c r="NE110" s="26"/>
      <c r="NF110" s="26"/>
      <c r="NG110" s="26"/>
      <c r="NH110" s="26"/>
      <c r="NI110" s="26"/>
      <c r="NJ110" s="26"/>
      <c r="NK110" s="26"/>
      <c r="NL110" s="26"/>
      <c r="NM110" s="26"/>
      <c r="NN110" s="26"/>
      <c r="NO110" s="26"/>
      <c r="NP110" s="26"/>
      <c r="NQ110" s="26"/>
      <c r="NR110" s="26"/>
      <c r="NS110" s="26"/>
      <c r="NT110" s="26"/>
      <c r="NU110" s="26"/>
      <c r="NV110" s="26"/>
      <c r="NW110" s="26"/>
      <c r="NX110" s="26"/>
      <c r="NY110" s="26"/>
      <c r="NZ110" s="26"/>
      <c r="OA110" s="26"/>
      <c r="OB110" s="26"/>
      <c r="OC110" s="26"/>
      <c r="OD110" s="26"/>
      <c r="OE110" s="26"/>
      <c r="OF110" s="26"/>
      <c r="OG110" s="26"/>
      <c r="OH110" s="26"/>
      <c r="OI110" s="26"/>
      <c r="OJ110" s="26"/>
      <c r="OK110" s="26"/>
      <c r="OL110" s="26"/>
      <c r="OM110" s="26"/>
      <c r="ON110" s="26"/>
      <c r="OO110" s="26"/>
      <c r="OP110" s="26"/>
      <c r="OQ110" s="26"/>
      <c r="OR110" s="26"/>
      <c r="OS110" s="26"/>
      <c r="OT110" s="26"/>
      <c r="OU110" s="26"/>
      <c r="OV110" s="26"/>
      <c r="OW110" s="26"/>
      <c r="OX110" s="26"/>
      <c r="OY110" s="26"/>
      <c r="OZ110" s="26"/>
      <c r="PA110" s="26"/>
      <c r="PB110" s="26"/>
      <c r="PC110" s="26"/>
      <c r="PD110" s="26"/>
      <c r="PE110" s="26"/>
      <c r="PF110" s="26"/>
      <c r="PG110" s="26"/>
      <c r="PH110" s="26"/>
      <c r="PI110" s="26"/>
      <c r="PJ110" s="26"/>
      <c r="PK110" s="26"/>
      <c r="PL110" s="26"/>
      <c r="PM110" s="26"/>
      <c r="PN110" s="26"/>
      <c r="PO110" s="26"/>
      <c r="PP110" s="26"/>
      <c r="PQ110" s="26"/>
      <c r="PR110" s="26"/>
      <c r="PS110" s="26"/>
      <c r="PT110" s="26"/>
      <c r="PU110" s="26"/>
      <c r="PV110" s="26"/>
      <c r="PW110" s="26"/>
      <c r="PX110" s="26"/>
      <c r="PY110" s="26"/>
      <c r="PZ110" s="26"/>
      <c r="QA110" s="26"/>
      <c r="QB110" s="26"/>
      <c r="QC110" s="26"/>
      <c r="QD110" s="26"/>
      <c r="QE110" s="26"/>
      <c r="QF110" s="26"/>
      <c r="QG110" s="26"/>
      <c r="QH110" s="26"/>
      <c r="QI110" s="26"/>
      <c r="QJ110" s="26"/>
      <c r="QK110" s="26"/>
      <c r="QL110" s="26"/>
      <c r="QM110" s="26"/>
      <c r="QN110" s="26"/>
      <c r="QO110" s="26"/>
      <c r="QP110" s="26"/>
      <c r="QQ110" s="26"/>
      <c r="QR110" s="26"/>
      <c r="QS110" s="26"/>
      <c r="QT110" s="26"/>
      <c r="QU110" s="26"/>
      <c r="QV110" s="26"/>
      <c r="QW110" s="26"/>
      <c r="QX110" s="26"/>
      <c r="QY110" s="26"/>
      <c r="QZ110" s="26"/>
      <c r="RA110" s="26"/>
      <c r="RB110" s="26"/>
      <c r="RC110" s="26"/>
      <c r="RD110" s="26"/>
      <c r="RE110" s="26"/>
      <c r="RF110" s="26"/>
      <c r="RG110" s="26"/>
      <c r="RH110" s="26"/>
      <c r="RI110" s="26"/>
      <c r="RJ110" s="26"/>
      <c r="RK110" s="26"/>
      <c r="RL110" s="26"/>
      <c r="RM110" s="26"/>
      <c r="RN110" s="26"/>
      <c r="RO110" s="26"/>
      <c r="RP110" s="26"/>
      <c r="RQ110" s="26"/>
      <c r="RR110" s="26"/>
      <c r="RS110" s="26"/>
      <c r="RT110" s="26"/>
      <c r="RU110" s="26"/>
      <c r="RV110" s="26"/>
      <c r="RW110" s="26"/>
      <c r="RX110" s="26"/>
      <c r="RY110" s="26"/>
      <c r="RZ110" s="26"/>
      <c r="SA110" s="26"/>
      <c r="SB110" s="26"/>
      <c r="SC110" s="26"/>
      <c r="SD110" s="26"/>
      <c r="SE110" s="26"/>
      <c r="SF110" s="26"/>
      <c r="SG110" s="26"/>
      <c r="SH110" s="26"/>
      <c r="SI110" s="26"/>
      <c r="SJ110" s="26"/>
      <c r="SK110" s="26"/>
      <c r="SL110" s="26"/>
      <c r="SM110" s="26"/>
      <c r="SN110" s="26"/>
      <c r="SO110" s="26"/>
      <c r="SP110" s="26"/>
      <c r="SQ110" s="26"/>
      <c r="SR110" s="26"/>
      <c r="SS110" s="26"/>
      <c r="ST110" s="26"/>
      <c r="SU110" s="26"/>
      <c r="SV110" s="26"/>
      <c r="SW110" s="26"/>
      <c r="SX110" s="26"/>
      <c r="SY110" s="26"/>
      <c r="SZ110" s="26"/>
      <c r="TA110" s="26"/>
      <c r="TB110" s="26"/>
      <c r="TC110" s="26"/>
      <c r="TD110" s="26"/>
      <c r="TE110" s="26"/>
      <c r="TF110" s="26"/>
      <c r="TG110" s="26"/>
      <c r="TH110" s="26"/>
      <c r="TI110" s="26"/>
      <c r="TJ110" s="26"/>
      <c r="TK110" s="26"/>
      <c r="TL110" s="26"/>
      <c r="TM110" s="26"/>
      <c r="TN110" s="26"/>
      <c r="TO110" s="26"/>
      <c r="TP110" s="26"/>
      <c r="TQ110" s="26"/>
      <c r="TR110" s="26"/>
      <c r="TS110" s="26"/>
      <c r="TT110" s="26"/>
      <c r="TU110" s="26"/>
      <c r="TV110" s="26"/>
      <c r="TW110" s="26"/>
      <c r="TX110" s="26"/>
      <c r="TY110" s="26"/>
      <c r="TZ110" s="26"/>
      <c r="UA110" s="26"/>
      <c r="UB110" s="26"/>
      <c r="UC110" s="26"/>
      <c r="UD110" s="26"/>
      <c r="UE110" s="26"/>
      <c r="UF110" s="26"/>
      <c r="UG110" s="26"/>
      <c r="UH110" s="26"/>
      <c r="UI110" s="26"/>
      <c r="UJ110" s="26"/>
      <c r="UK110" s="26"/>
      <c r="UL110" s="26"/>
      <c r="UM110" s="26"/>
      <c r="UN110" s="26"/>
      <c r="UO110" s="26"/>
      <c r="UP110" s="26"/>
      <c r="UQ110" s="26"/>
      <c r="UR110" s="26"/>
      <c r="US110" s="26"/>
      <c r="UT110" s="26"/>
      <c r="UU110" s="26"/>
      <c r="UV110" s="26"/>
      <c r="UW110" s="26"/>
      <c r="UX110" s="26"/>
      <c r="UY110" s="26"/>
      <c r="UZ110" s="26"/>
      <c r="VA110" s="26"/>
      <c r="VB110" s="26"/>
      <c r="VC110" s="26"/>
      <c r="VD110" s="26"/>
      <c r="VE110" s="26"/>
      <c r="VF110" s="26"/>
      <c r="VG110" s="26"/>
      <c r="VH110" s="26"/>
      <c r="VI110" s="26"/>
      <c r="VJ110" s="26"/>
      <c r="VK110" s="26"/>
      <c r="VL110" s="26"/>
      <c r="VM110" s="26"/>
      <c r="VN110" s="26"/>
      <c r="VO110" s="26"/>
      <c r="VP110" s="26"/>
      <c r="VQ110" s="26"/>
      <c r="VR110" s="26"/>
      <c r="VS110" s="26"/>
      <c r="VT110" s="26"/>
      <c r="VU110" s="26"/>
      <c r="VV110" s="26"/>
      <c r="VW110" s="26"/>
      <c r="VX110" s="26"/>
      <c r="VY110" s="26"/>
      <c r="VZ110" s="26"/>
      <c r="WA110" s="26"/>
      <c r="WB110" s="26"/>
      <c r="WC110" s="26"/>
      <c r="WD110" s="26"/>
      <c r="WE110" s="26"/>
      <c r="WF110" s="26"/>
      <c r="WG110" s="26"/>
      <c r="WH110" s="26"/>
      <c r="WI110" s="26"/>
      <c r="WJ110" s="26"/>
      <c r="WK110" s="26"/>
      <c r="WL110" s="26"/>
      <c r="WM110" s="26"/>
      <c r="WN110" s="26"/>
      <c r="WO110" s="26"/>
      <c r="WP110" s="26"/>
      <c r="WQ110" s="26"/>
      <c r="WR110" s="26"/>
      <c r="WS110" s="26"/>
      <c r="WT110" s="26"/>
      <c r="WU110" s="26"/>
      <c r="WV110" s="26"/>
      <c r="WW110" s="26"/>
      <c r="WX110" s="26"/>
      <c r="WY110" s="26"/>
      <c r="WZ110" s="26"/>
      <c r="XA110" s="26"/>
      <c r="XB110" s="26"/>
      <c r="XC110" s="26"/>
      <c r="XD110" s="26"/>
      <c r="XE110" s="26"/>
      <c r="XF110" s="26"/>
      <c r="XG110" s="26"/>
      <c r="XH110" s="26"/>
      <c r="XI110" s="26"/>
      <c r="XJ110" s="26"/>
      <c r="XK110" s="26"/>
      <c r="XL110" s="26"/>
      <c r="XM110" s="26"/>
      <c r="XN110" s="26"/>
      <c r="XO110" s="26"/>
      <c r="XP110" s="26"/>
      <c r="XQ110" s="26"/>
      <c r="XR110" s="26"/>
      <c r="XS110" s="26"/>
      <c r="XT110" s="26"/>
      <c r="XU110" s="26"/>
      <c r="XV110" s="26"/>
      <c r="XW110" s="26"/>
      <c r="XX110" s="26"/>
      <c r="XY110" s="26"/>
      <c r="XZ110" s="26"/>
      <c r="YA110" s="26"/>
      <c r="YB110" s="26"/>
      <c r="YC110" s="26"/>
      <c r="YD110" s="26"/>
      <c r="YE110" s="26"/>
      <c r="YF110" s="26"/>
      <c r="YG110" s="26"/>
      <c r="YH110" s="26"/>
      <c r="YI110" s="26"/>
      <c r="YJ110" s="26"/>
      <c r="YK110" s="26"/>
      <c r="YL110" s="26"/>
      <c r="YM110" s="26"/>
      <c r="YN110" s="26"/>
      <c r="YO110" s="26"/>
      <c r="YP110" s="26"/>
      <c r="YQ110" s="26"/>
      <c r="YR110" s="26"/>
      <c r="YS110" s="26"/>
      <c r="YT110" s="26"/>
      <c r="YU110" s="26"/>
      <c r="YV110" s="26"/>
      <c r="YW110" s="26"/>
      <c r="YX110" s="26"/>
      <c r="YY110" s="26"/>
      <c r="YZ110" s="26"/>
      <c r="ZA110" s="26"/>
      <c r="ZB110" s="26"/>
      <c r="ZC110" s="26"/>
      <c r="ZD110" s="26"/>
      <c r="ZE110" s="26"/>
      <c r="ZF110" s="26"/>
      <c r="ZG110" s="26"/>
      <c r="ZH110" s="26"/>
      <c r="ZI110" s="26"/>
      <c r="ZJ110" s="26"/>
      <c r="ZK110" s="26"/>
      <c r="ZL110" s="26"/>
      <c r="ZM110" s="26"/>
      <c r="ZN110" s="26"/>
      <c r="ZO110" s="26"/>
      <c r="ZP110" s="26"/>
      <c r="ZQ110" s="26"/>
      <c r="ZR110" s="26"/>
      <c r="ZS110" s="26"/>
      <c r="ZT110" s="26"/>
      <c r="ZU110" s="26"/>
      <c r="ZV110" s="26"/>
      <c r="ZW110" s="26"/>
      <c r="ZX110" s="26"/>
      <c r="ZY110" s="26"/>
      <c r="ZZ110" s="26"/>
      <c r="AAA110" s="26"/>
      <c r="AAB110" s="26"/>
      <c r="AAC110" s="26"/>
      <c r="AAD110" s="26"/>
      <c r="AAE110" s="26"/>
      <c r="AAF110" s="26"/>
      <c r="AAG110" s="26"/>
      <c r="AAH110" s="26"/>
      <c r="AAI110" s="26"/>
      <c r="AAJ110" s="26"/>
      <c r="AAK110" s="26"/>
      <c r="AAL110" s="26"/>
      <c r="AAM110" s="26"/>
      <c r="AAN110" s="26"/>
      <c r="AAO110" s="26"/>
      <c r="AAP110" s="26"/>
      <c r="AAQ110" s="26"/>
      <c r="AAR110" s="26"/>
      <c r="AAS110" s="26"/>
      <c r="AAT110" s="26"/>
      <c r="AAU110" s="26"/>
      <c r="AAV110" s="26"/>
      <c r="AAW110" s="26"/>
      <c r="AAX110" s="26"/>
      <c r="AAY110" s="26"/>
      <c r="AAZ110" s="26"/>
      <c r="ABA110" s="26"/>
      <c r="ABB110" s="26"/>
      <c r="ABC110" s="26"/>
      <c r="ABD110" s="26"/>
      <c r="ABE110" s="26"/>
      <c r="ABF110" s="26"/>
      <c r="ABG110" s="26"/>
      <c r="ABH110" s="26"/>
      <c r="ABI110" s="26"/>
      <c r="ABJ110" s="26"/>
      <c r="ABK110" s="26"/>
      <c r="ABL110" s="26"/>
      <c r="ABM110" s="26"/>
      <c r="ABN110" s="26"/>
      <c r="ABO110" s="26"/>
      <c r="ABP110" s="26"/>
      <c r="ABQ110" s="26"/>
      <c r="ABR110" s="26"/>
      <c r="ABS110" s="26"/>
      <c r="ABT110" s="26"/>
      <c r="ABU110" s="26"/>
      <c r="ABV110" s="26"/>
      <c r="ABW110" s="26"/>
      <c r="ABX110" s="26"/>
      <c r="ABY110" s="26"/>
      <c r="ABZ110" s="26"/>
      <c r="ACA110" s="26"/>
      <c r="ACB110" s="26"/>
      <c r="ACC110" s="26"/>
      <c r="ACD110" s="26"/>
      <c r="ACE110" s="26"/>
      <c r="ACF110" s="26"/>
      <c r="ACG110" s="26"/>
      <c r="ACH110" s="26"/>
      <c r="ACI110" s="26"/>
      <c r="ACJ110" s="26"/>
      <c r="ACK110" s="26"/>
      <c r="ACL110" s="26"/>
      <c r="ACM110" s="26"/>
      <c r="ACN110" s="26"/>
      <c r="ACO110" s="26"/>
      <c r="ACP110" s="26"/>
      <c r="ACQ110" s="26"/>
      <c r="ACR110" s="26"/>
      <c r="ACS110" s="26"/>
      <c r="ACT110" s="26"/>
      <c r="ACU110" s="26"/>
      <c r="ACV110" s="26"/>
      <c r="ACW110" s="26"/>
      <c r="ACX110" s="26"/>
      <c r="ACY110" s="26"/>
      <c r="ACZ110" s="26"/>
      <c r="ADA110" s="26"/>
      <c r="ADB110" s="26"/>
      <c r="ADC110" s="26"/>
      <c r="ADD110" s="26"/>
      <c r="ADE110" s="26"/>
      <c r="ADF110" s="26"/>
      <c r="ADG110" s="26"/>
      <c r="ADH110" s="26"/>
      <c r="ADI110" s="26"/>
      <c r="ADJ110" s="26"/>
      <c r="ADK110" s="26"/>
      <c r="ADL110" s="26"/>
      <c r="ADM110" s="26"/>
      <c r="ADN110" s="26"/>
      <c r="ADO110" s="26"/>
      <c r="ADP110" s="26"/>
      <c r="ADQ110" s="26"/>
      <c r="ADR110" s="26"/>
      <c r="ADS110" s="26"/>
      <c r="ADT110" s="26"/>
      <c r="ADU110" s="26"/>
      <c r="ADV110" s="26"/>
      <c r="ADW110" s="26"/>
      <c r="ADX110" s="26"/>
      <c r="ADY110" s="26"/>
      <c r="ADZ110" s="26"/>
      <c r="AEA110" s="26"/>
      <c r="AEB110" s="26"/>
      <c r="AEC110" s="26"/>
      <c r="AED110" s="26"/>
      <c r="AEE110" s="26"/>
      <c r="AEF110" s="26"/>
      <c r="AEG110" s="26"/>
      <c r="AEH110" s="26"/>
      <c r="AEI110" s="26"/>
      <c r="AEJ110" s="26"/>
      <c r="AEK110" s="26"/>
      <c r="AEL110" s="26"/>
      <c r="AEM110" s="26"/>
      <c r="AEN110" s="26"/>
      <c r="AEO110" s="26"/>
      <c r="AEP110" s="26"/>
      <c r="AEQ110" s="26"/>
      <c r="AER110" s="26"/>
      <c r="AES110" s="26"/>
      <c r="AET110" s="26"/>
      <c r="AEU110" s="26"/>
      <c r="AEV110" s="26"/>
      <c r="AEW110" s="26"/>
      <c r="AEX110" s="26"/>
      <c r="AEY110" s="26"/>
      <c r="AEZ110" s="26"/>
      <c r="AFA110" s="26"/>
      <c r="AFB110" s="26"/>
      <c r="AFC110" s="26"/>
      <c r="AFD110" s="26"/>
      <c r="AFE110" s="26"/>
      <c r="AFF110" s="26"/>
      <c r="AFG110" s="26"/>
      <c r="AFH110" s="26"/>
      <c r="AFI110" s="26"/>
      <c r="AFJ110" s="26"/>
      <c r="AFK110" s="26"/>
      <c r="AFL110" s="26"/>
      <c r="AFM110" s="26"/>
      <c r="AFN110" s="26"/>
      <c r="AFO110" s="26"/>
      <c r="AFP110" s="26"/>
      <c r="AFQ110" s="26"/>
      <c r="AFR110" s="26"/>
      <c r="AFS110" s="26"/>
      <c r="AFT110" s="26"/>
      <c r="AFU110" s="26"/>
      <c r="AFV110" s="26"/>
      <c r="AFW110" s="26"/>
      <c r="AFX110" s="26"/>
      <c r="AFY110" s="26"/>
      <c r="AFZ110" s="26"/>
      <c r="AGA110" s="26"/>
      <c r="AGB110" s="26"/>
      <c r="AGC110" s="26"/>
      <c r="AGD110" s="26"/>
      <c r="AGE110" s="26"/>
      <c r="AGF110" s="26"/>
      <c r="AGG110" s="26"/>
      <c r="AGH110" s="26"/>
      <c r="AGI110" s="26"/>
      <c r="AGJ110" s="26"/>
      <c r="AGK110" s="26"/>
      <c r="AGL110" s="26"/>
      <c r="AGM110" s="26"/>
      <c r="AGN110" s="26"/>
      <c r="AGO110" s="26"/>
      <c r="AGP110" s="26"/>
      <c r="AGQ110" s="26"/>
      <c r="AGR110" s="26"/>
      <c r="AGS110" s="26"/>
      <c r="AGT110" s="26"/>
      <c r="AGU110" s="26"/>
      <c r="AGV110" s="26"/>
      <c r="AGW110" s="26"/>
      <c r="AGX110" s="26"/>
      <c r="AGY110" s="26"/>
      <c r="AGZ110" s="26"/>
      <c r="AHA110" s="26"/>
      <c r="AHB110" s="26"/>
      <c r="AHC110" s="26"/>
      <c r="AHD110" s="26"/>
      <c r="AHE110" s="26"/>
      <c r="AHF110" s="26"/>
      <c r="AHG110" s="26"/>
      <c r="AHH110" s="26"/>
      <c r="AHI110" s="26"/>
      <c r="AHJ110" s="26"/>
      <c r="AHK110" s="26"/>
      <c r="AHL110" s="26"/>
      <c r="AHM110" s="26"/>
      <c r="AHN110" s="26"/>
      <c r="AHO110" s="26"/>
      <c r="AHP110" s="26"/>
      <c r="AHQ110" s="26"/>
      <c r="AHR110" s="26"/>
      <c r="AHS110" s="26"/>
      <c r="AHT110" s="26"/>
      <c r="AHU110" s="26"/>
      <c r="AHV110" s="26"/>
      <c r="AHW110" s="26"/>
      <c r="AHX110" s="26"/>
      <c r="AHY110" s="26"/>
      <c r="AHZ110" s="26"/>
      <c r="AIA110" s="26"/>
      <c r="AIB110" s="26"/>
      <c r="AIC110" s="26"/>
      <c r="AID110" s="26"/>
      <c r="AIE110" s="26"/>
      <c r="AIF110" s="26"/>
      <c r="AIG110" s="26"/>
      <c r="AIH110" s="26"/>
      <c r="AII110" s="26"/>
      <c r="AIJ110" s="26"/>
      <c r="AIK110" s="26"/>
      <c r="AIL110" s="26"/>
      <c r="AIM110" s="26"/>
      <c r="AIN110" s="26"/>
      <c r="AIO110" s="26"/>
      <c r="AIP110" s="26"/>
      <c r="AIQ110" s="26"/>
      <c r="AIR110" s="26"/>
      <c r="AIS110" s="26"/>
      <c r="AIT110" s="26"/>
      <c r="AIU110" s="26"/>
      <c r="AIV110" s="26"/>
      <c r="AIW110" s="26"/>
      <c r="AIX110" s="26"/>
      <c r="AIY110" s="26"/>
      <c r="AIZ110" s="26"/>
      <c r="AJA110" s="26"/>
      <c r="AJB110" s="26"/>
      <c r="AJC110" s="26"/>
      <c r="AJD110" s="26"/>
      <c r="AJE110" s="26"/>
      <c r="AJF110" s="26"/>
      <c r="AJG110" s="26"/>
      <c r="AJH110" s="26"/>
      <c r="AJI110" s="26"/>
      <c r="AJJ110" s="26"/>
      <c r="AJK110" s="26"/>
      <c r="AJL110" s="26"/>
      <c r="AJM110" s="26"/>
      <c r="AJN110" s="26"/>
      <c r="AJO110" s="26"/>
      <c r="AJP110" s="26"/>
      <c r="AJQ110" s="26"/>
      <c r="AJR110" s="26"/>
      <c r="AJS110" s="26"/>
      <c r="AJT110" s="26"/>
      <c r="AJU110" s="26"/>
      <c r="AJV110" s="26"/>
      <c r="AJW110" s="26"/>
      <c r="AJX110" s="26"/>
      <c r="AJY110" s="26"/>
      <c r="AJZ110" s="26"/>
      <c r="AKA110" s="26"/>
      <c r="AKB110" s="26"/>
      <c r="AKC110" s="26"/>
      <c r="AKD110" s="26"/>
      <c r="AKE110" s="26"/>
      <c r="AKF110" s="26"/>
      <c r="AKG110" s="26"/>
      <c r="AKH110" s="26"/>
      <c r="AKI110" s="26"/>
      <c r="AKJ110" s="26"/>
      <c r="AKK110" s="26"/>
      <c r="AKL110" s="26"/>
      <c r="AKM110" s="26"/>
      <c r="AKN110" s="26"/>
      <c r="AKO110" s="26"/>
      <c r="AKP110" s="26"/>
      <c r="AKQ110" s="26"/>
      <c r="AKR110" s="26"/>
      <c r="AKS110" s="26"/>
      <c r="AKT110" s="26"/>
      <c r="AKU110" s="26"/>
      <c r="AKV110" s="26"/>
      <c r="AKW110" s="26"/>
      <c r="AKX110" s="26"/>
      <c r="AKY110" s="26"/>
      <c r="AKZ110" s="26"/>
      <c r="ALA110" s="26"/>
      <c r="ALB110" s="26"/>
      <c r="ALC110" s="26"/>
      <c r="ALD110" s="26"/>
      <c r="ALE110" s="26"/>
      <c r="ALF110" s="26"/>
      <c r="ALG110" s="26"/>
      <c r="ALH110" s="26"/>
      <c r="ALI110" s="26"/>
      <c r="ALJ110" s="26"/>
      <c r="ALK110" s="26"/>
      <c r="ALL110" s="26"/>
      <c r="ALM110" s="26"/>
      <c r="ALN110" s="26"/>
      <c r="ALO110" s="26"/>
      <c r="ALP110" s="26"/>
      <c r="ALQ110" s="26"/>
      <c r="ALR110" s="26"/>
      <c r="ALS110" s="26"/>
      <c r="ALT110" s="26"/>
      <c r="ALU110" s="26"/>
      <c r="ALV110" s="26"/>
      <c r="ALW110" s="26"/>
      <c r="ALX110" s="26"/>
      <c r="ALY110" s="26"/>
      <c r="ALZ110" s="26"/>
      <c r="AMA110" s="26"/>
      <c r="AMB110" s="26"/>
      <c r="AMC110" s="26"/>
      <c r="AMD110" s="26"/>
      <c r="AME110" s="26"/>
      <c r="AMF110" s="26"/>
      <c r="AMG110" s="26"/>
      <c r="AMH110" s="26"/>
      <c r="AMI110" s="26"/>
      <c r="AMJ110" s="26"/>
    </row>
    <row r="111" spans="1:1024" s="28" customFormat="1">
      <c r="A111" s="73">
        <v>13</v>
      </c>
      <c r="B111" s="271"/>
      <c r="C111" s="272"/>
      <c r="D111" s="287" t="s">
        <v>46</v>
      </c>
      <c r="E111" s="288"/>
      <c r="F111" s="288"/>
      <c r="G111" s="288"/>
      <c r="H111" s="289"/>
      <c r="I111" s="10">
        <f>H115</f>
        <v>11477.91</v>
      </c>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c r="IW111" s="26"/>
      <c r="IX111" s="26"/>
      <c r="IY111" s="26"/>
      <c r="IZ111" s="26"/>
      <c r="JA111" s="26"/>
      <c r="JB111" s="26"/>
      <c r="JC111" s="26"/>
      <c r="JD111" s="26"/>
      <c r="JE111" s="26"/>
      <c r="JF111" s="26"/>
      <c r="JG111" s="26"/>
      <c r="JH111" s="26"/>
      <c r="JI111" s="26"/>
      <c r="JJ111" s="26"/>
      <c r="JK111" s="26"/>
      <c r="JL111" s="26"/>
      <c r="JM111" s="26"/>
      <c r="JN111" s="26"/>
      <c r="JO111" s="26"/>
      <c r="JP111" s="26"/>
      <c r="JQ111" s="26"/>
      <c r="JR111" s="26"/>
      <c r="JS111" s="26"/>
      <c r="JT111" s="26"/>
      <c r="JU111" s="26"/>
      <c r="JV111" s="26"/>
      <c r="JW111" s="26"/>
      <c r="JX111" s="26"/>
      <c r="JY111" s="26"/>
      <c r="JZ111" s="26"/>
      <c r="KA111" s="26"/>
      <c r="KB111" s="26"/>
      <c r="KC111" s="26"/>
      <c r="KD111" s="26"/>
      <c r="KE111" s="26"/>
      <c r="KF111" s="26"/>
      <c r="KG111" s="26"/>
      <c r="KH111" s="26"/>
      <c r="KI111" s="26"/>
      <c r="KJ111" s="26"/>
      <c r="KK111" s="26"/>
      <c r="KL111" s="26"/>
      <c r="KM111" s="26"/>
      <c r="KN111" s="26"/>
      <c r="KO111" s="26"/>
      <c r="KP111" s="26"/>
      <c r="KQ111" s="26"/>
      <c r="KR111" s="26"/>
      <c r="KS111" s="26"/>
      <c r="KT111" s="26"/>
      <c r="KU111" s="26"/>
      <c r="KV111" s="26"/>
      <c r="KW111" s="26"/>
      <c r="KX111" s="26"/>
      <c r="KY111" s="26"/>
      <c r="KZ111" s="26"/>
      <c r="LA111" s="26"/>
      <c r="LB111" s="26"/>
      <c r="LC111" s="26"/>
      <c r="LD111" s="26"/>
      <c r="LE111" s="26"/>
      <c r="LF111" s="26"/>
      <c r="LG111" s="26"/>
      <c r="LH111" s="26"/>
      <c r="LI111" s="26"/>
      <c r="LJ111" s="26"/>
      <c r="LK111" s="26"/>
      <c r="LL111" s="26"/>
      <c r="LM111" s="26"/>
      <c r="LN111" s="26"/>
      <c r="LO111" s="26"/>
      <c r="LP111" s="26"/>
      <c r="LQ111" s="26"/>
      <c r="LR111" s="26"/>
      <c r="LS111" s="26"/>
      <c r="LT111" s="26"/>
      <c r="LU111" s="26"/>
      <c r="LV111" s="26"/>
      <c r="LW111" s="26"/>
      <c r="LX111" s="26"/>
      <c r="LY111" s="26"/>
      <c r="LZ111" s="26"/>
      <c r="MA111" s="26"/>
      <c r="MB111" s="26"/>
      <c r="MC111" s="26"/>
      <c r="MD111" s="26"/>
      <c r="ME111" s="26"/>
      <c r="MF111" s="26"/>
      <c r="MG111" s="26"/>
      <c r="MH111" s="26"/>
      <c r="MI111" s="26"/>
      <c r="MJ111" s="26"/>
      <c r="MK111" s="26"/>
      <c r="ML111" s="26"/>
      <c r="MM111" s="26"/>
      <c r="MN111" s="26"/>
      <c r="MO111" s="26"/>
      <c r="MP111" s="26"/>
      <c r="MQ111" s="26"/>
      <c r="MR111" s="26"/>
      <c r="MS111" s="26"/>
      <c r="MT111" s="26"/>
      <c r="MU111" s="26"/>
      <c r="MV111" s="26"/>
      <c r="MW111" s="26"/>
      <c r="MX111" s="26"/>
      <c r="MY111" s="26"/>
      <c r="MZ111" s="26"/>
      <c r="NA111" s="26"/>
      <c r="NB111" s="26"/>
      <c r="NC111" s="26"/>
      <c r="ND111" s="26"/>
      <c r="NE111" s="26"/>
      <c r="NF111" s="26"/>
      <c r="NG111" s="26"/>
      <c r="NH111" s="26"/>
      <c r="NI111" s="26"/>
      <c r="NJ111" s="26"/>
      <c r="NK111" s="26"/>
      <c r="NL111" s="26"/>
      <c r="NM111" s="26"/>
      <c r="NN111" s="26"/>
      <c r="NO111" s="26"/>
      <c r="NP111" s="26"/>
      <c r="NQ111" s="26"/>
      <c r="NR111" s="26"/>
      <c r="NS111" s="26"/>
      <c r="NT111" s="26"/>
      <c r="NU111" s="26"/>
      <c r="NV111" s="26"/>
      <c r="NW111" s="26"/>
      <c r="NX111" s="26"/>
      <c r="NY111" s="26"/>
      <c r="NZ111" s="26"/>
      <c r="OA111" s="26"/>
      <c r="OB111" s="26"/>
      <c r="OC111" s="26"/>
      <c r="OD111" s="26"/>
      <c r="OE111" s="26"/>
      <c r="OF111" s="26"/>
      <c r="OG111" s="26"/>
      <c r="OH111" s="26"/>
      <c r="OI111" s="26"/>
      <c r="OJ111" s="26"/>
      <c r="OK111" s="26"/>
      <c r="OL111" s="26"/>
      <c r="OM111" s="26"/>
      <c r="ON111" s="26"/>
      <c r="OO111" s="26"/>
      <c r="OP111" s="26"/>
      <c r="OQ111" s="26"/>
      <c r="OR111" s="26"/>
      <c r="OS111" s="26"/>
      <c r="OT111" s="26"/>
      <c r="OU111" s="26"/>
      <c r="OV111" s="26"/>
      <c r="OW111" s="26"/>
      <c r="OX111" s="26"/>
      <c r="OY111" s="26"/>
      <c r="OZ111" s="26"/>
      <c r="PA111" s="26"/>
      <c r="PB111" s="26"/>
      <c r="PC111" s="26"/>
      <c r="PD111" s="26"/>
      <c r="PE111" s="26"/>
      <c r="PF111" s="26"/>
      <c r="PG111" s="26"/>
      <c r="PH111" s="26"/>
      <c r="PI111" s="26"/>
      <c r="PJ111" s="26"/>
      <c r="PK111" s="26"/>
      <c r="PL111" s="26"/>
      <c r="PM111" s="26"/>
      <c r="PN111" s="26"/>
      <c r="PO111" s="26"/>
      <c r="PP111" s="26"/>
      <c r="PQ111" s="26"/>
      <c r="PR111" s="26"/>
      <c r="PS111" s="26"/>
      <c r="PT111" s="26"/>
      <c r="PU111" s="26"/>
      <c r="PV111" s="26"/>
      <c r="PW111" s="26"/>
      <c r="PX111" s="26"/>
      <c r="PY111" s="26"/>
      <c r="PZ111" s="26"/>
      <c r="QA111" s="26"/>
      <c r="QB111" s="26"/>
      <c r="QC111" s="26"/>
      <c r="QD111" s="26"/>
      <c r="QE111" s="26"/>
      <c r="QF111" s="26"/>
      <c r="QG111" s="26"/>
      <c r="QH111" s="26"/>
      <c r="QI111" s="26"/>
      <c r="QJ111" s="26"/>
      <c r="QK111" s="26"/>
      <c r="QL111" s="26"/>
      <c r="QM111" s="26"/>
      <c r="QN111" s="26"/>
      <c r="QO111" s="26"/>
      <c r="QP111" s="26"/>
      <c r="QQ111" s="26"/>
      <c r="QR111" s="26"/>
      <c r="QS111" s="26"/>
      <c r="QT111" s="26"/>
      <c r="QU111" s="26"/>
      <c r="QV111" s="26"/>
      <c r="QW111" s="26"/>
      <c r="QX111" s="26"/>
      <c r="QY111" s="26"/>
      <c r="QZ111" s="26"/>
      <c r="RA111" s="26"/>
      <c r="RB111" s="26"/>
      <c r="RC111" s="26"/>
      <c r="RD111" s="26"/>
      <c r="RE111" s="26"/>
      <c r="RF111" s="26"/>
      <c r="RG111" s="26"/>
      <c r="RH111" s="26"/>
      <c r="RI111" s="26"/>
      <c r="RJ111" s="26"/>
      <c r="RK111" s="26"/>
      <c r="RL111" s="26"/>
      <c r="RM111" s="26"/>
      <c r="RN111" s="26"/>
      <c r="RO111" s="26"/>
      <c r="RP111" s="26"/>
      <c r="RQ111" s="26"/>
      <c r="RR111" s="26"/>
      <c r="RS111" s="26"/>
      <c r="RT111" s="26"/>
      <c r="RU111" s="26"/>
      <c r="RV111" s="26"/>
      <c r="RW111" s="26"/>
      <c r="RX111" s="26"/>
      <c r="RY111" s="26"/>
      <c r="RZ111" s="26"/>
      <c r="SA111" s="26"/>
      <c r="SB111" s="26"/>
      <c r="SC111" s="26"/>
      <c r="SD111" s="26"/>
      <c r="SE111" s="26"/>
      <c r="SF111" s="26"/>
      <c r="SG111" s="26"/>
      <c r="SH111" s="26"/>
      <c r="SI111" s="26"/>
      <c r="SJ111" s="26"/>
      <c r="SK111" s="26"/>
      <c r="SL111" s="26"/>
      <c r="SM111" s="26"/>
      <c r="SN111" s="26"/>
      <c r="SO111" s="26"/>
      <c r="SP111" s="26"/>
      <c r="SQ111" s="26"/>
      <c r="SR111" s="26"/>
      <c r="SS111" s="26"/>
      <c r="ST111" s="26"/>
      <c r="SU111" s="26"/>
      <c r="SV111" s="26"/>
      <c r="SW111" s="26"/>
      <c r="SX111" s="26"/>
      <c r="SY111" s="26"/>
      <c r="SZ111" s="26"/>
      <c r="TA111" s="26"/>
      <c r="TB111" s="26"/>
      <c r="TC111" s="26"/>
      <c r="TD111" s="26"/>
      <c r="TE111" s="26"/>
      <c r="TF111" s="26"/>
      <c r="TG111" s="26"/>
      <c r="TH111" s="26"/>
      <c r="TI111" s="26"/>
      <c r="TJ111" s="26"/>
      <c r="TK111" s="26"/>
      <c r="TL111" s="26"/>
      <c r="TM111" s="26"/>
      <c r="TN111" s="26"/>
      <c r="TO111" s="26"/>
      <c r="TP111" s="26"/>
      <c r="TQ111" s="26"/>
      <c r="TR111" s="26"/>
      <c r="TS111" s="26"/>
      <c r="TT111" s="26"/>
      <c r="TU111" s="26"/>
      <c r="TV111" s="26"/>
      <c r="TW111" s="26"/>
      <c r="TX111" s="26"/>
      <c r="TY111" s="26"/>
      <c r="TZ111" s="26"/>
      <c r="UA111" s="26"/>
      <c r="UB111" s="26"/>
      <c r="UC111" s="26"/>
      <c r="UD111" s="26"/>
      <c r="UE111" s="26"/>
      <c r="UF111" s="26"/>
      <c r="UG111" s="26"/>
      <c r="UH111" s="26"/>
      <c r="UI111" s="26"/>
      <c r="UJ111" s="26"/>
      <c r="UK111" s="26"/>
      <c r="UL111" s="26"/>
      <c r="UM111" s="26"/>
      <c r="UN111" s="26"/>
      <c r="UO111" s="26"/>
      <c r="UP111" s="26"/>
      <c r="UQ111" s="26"/>
      <c r="UR111" s="26"/>
      <c r="US111" s="26"/>
      <c r="UT111" s="26"/>
      <c r="UU111" s="26"/>
      <c r="UV111" s="26"/>
      <c r="UW111" s="26"/>
      <c r="UX111" s="26"/>
      <c r="UY111" s="26"/>
      <c r="UZ111" s="26"/>
      <c r="VA111" s="26"/>
      <c r="VB111" s="26"/>
      <c r="VC111" s="26"/>
      <c r="VD111" s="26"/>
      <c r="VE111" s="26"/>
      <c r="VF111" s="26"/>
      <c r="VG111" s="26"/>
      <c r="VH111" s="26"/>
      <c r="VI111" s="26"/>
      <c r="VJ111" s="26"/>
      <c r="VK111" s="26"/>
      <c r="VL111" s="26"/>
      <c r="VM111" s="26"/>
      <c r="VN111" s="26"/>
      <c r="VO111" s="26"/>
      <c r="VP111" s="26"/>
      <c r="VQ111" s="26"/>
      <c r="VR111" s="26"/>
      <c r="VS111" s="26"/>
      <c r="VT111" s="26"/>
      <c r="VU111" s="26"/>
      <c r="VV111" s="26"/>
      <c r="VW111" s="26"/>
      <c r="VX111" s="26"/>
      <c r="VY111" s="26"/>
      <c r="VZ111" s="26"/>
      <c r="WA111" s="26"/>
      <c r="WB111" s="26"/>
      <c r="WC111" s="26"/>
      <c r="WD111" s="26"/>
      <c r="WE111" s="26"/>
      <c r="WF111" s="26"/>
      <c r="WG111" s="26"/>
      <c r="WH111" s="26"/>
      <c r="WI111" s="26"/>
      <c r="WJ111" s="26"/>
      <c r="WK111" s="26"/>
      <c r="WL111" s="26"/>
      <c r="WM111" s="26"/>
      <c r="WN111" s="26"/>
      <c r="WO111" s="26"/>
      <c r="WP111" s="26"/>
      <c r="WQ111" s="26"/>
      <c r="WR111" s="26"/>
      <c r="WS111" s="26"/>
      <c r="WT111" s="26"/>
      <c r="WU111" s="26"/>
      <c r="WV111" s="26"/>
      <c r="WW111" s="26"/>
      <c r="WX111" s="26"/>
      <c r="WY111" s="26"/>
      <c r="WZ111" s="26"/>
      <c r="XA111" s="26"/>
      <c r="XB111" s="26"/>
      <c r="XC111" s="26"/>
      <c r="XD111" s="26"/>
      <c r="XE111" s="26"/>
      <c r="XF111" s="26"/>
      <c r="XG111" s="26"/>
      <c r="XH111" s="26"/>
      <c r="XI111" s="26"/>
      <c r="XJ111" s="26"/>
      <c r="XK111" s="26"/>
      <c r="XL111" s="26"/>
      <c r="XM111" s="26"/>
      <c r="XN111" s="26"/>
      <c r="XO111" s="26"/>
      <c r="XP111" s="26"/>
      <c r="XQ111" s="26"/>
      <c r="XR111" s="26"/>
      <c r="XS111" s="26"/>
      <c r="XT111" s="26"/>
      <c r="XU111" s="26"/>
      <c r="XV111" s="26"/>
      <c r="XW111" s="26"/>
      <c r="XX111" s="26"/>
      <c r="XY111" s="26"/>
      <c r="XZ111" s="26"/>
      <c r="YA111" s="26"/>
      <c r="YB111" s="26"/>
      <c r="YC111" s="26"/>
      <c r="YD111" s="26"/>
      <c r="YE111" s="26"/>
      <c r="YF111" s="26"/>
      <c r="YG111" s="26"/>
      <c r="YH111" s="26"/>
      <c r="YI111" s="26"/>
      <c r="YJ111" s="26"/>
      <c r="YK111" s="26"/>
      <c r="YL111" s="26"/>
      <c r="YM111" s="26"/>
      <c r="YN111" s="26"/>
      <c r="YO111" s="26"/>
      <c r="YP111" s="26"/>
      <c r="YQ111" s="26"/>
      <c r="YR111" s="26"/>
      <c r="YS111" s="26"/>
      <c r="YT111" s="26"/>
      <c r="YU111" s="26"/>
      <c r="YV111" s="26"/>
      <c r="YW111" s="26"/>
      <c r="YX111" s="26"/>
      <c r="YY111" s="26"/>
      <c r="YZ111" s="26"/>
      <c r="ZA111" s="26"/>
      <c r="ZB111" s="26"/>
      <c r="ZC111" s="26"/>
      <c r="ZD111" s="26"/>
      <c r="ZE111" s="26"/>
      <c r="ZF111" s="26"/>
      <c r="ZG111" s="26"/>
      <c r="ZH111" s="26"/>
      <c r="ZI111" s="26"/>
      <c r="ZJ111" s="26"/>
      <c r="ZK111" s="26"/>
      <c r="ZL111" s="26"/>
      <c r="ZM111" s="26"/>
      <c r="ZN111" s="26"/>
      <c r="ZO111" s="26"/>
      <c r="ZP111" s="26"/>
      <c r="ZQ111" s="26"/>
      <c r="ZR111" s="26"/>
      <c r="ZS111" s="26"/>
      <c r="ZT111" s="26"/>
      <c r="ZU111" s="26"/>
      <c r="ZV111" s="26"/>
      <c r="ZW111" s="26"/>
      <c r="ZX111" s="26"/>
      <c r="ZY111" s="26"/>
      <c r="ZZ111" s="26"/>
      <c r="AAA111" s="26"/>
      <c r="AAB111" s="26"/>
      <c r="AAC111" s="26"/>
      <c r="AAD111" s="26"/>
      <c r="AAE111" s="26"/>
      <c r="AAF111" s="26"/>
      <c r="AAG111" s="26"/>
      <c r="AAH111" s="26"/>
      <c r="AAI111" s="26"/>
      <c r="AAJ111" s="26"/>
      <c r="AAK111" s="26"/>
      <c r="AAL111" s="26"/>
      <c r="AAM111" s="26"/>
      <c r="AAN111" s="26"/>
      <c r="AAO111" s="26"/>
      <c r="AAP111" s="26"/>
      <c r="AAQ111" s="26"/>
      <c r="AAR111" s="26"/>
      <c r="AAS111" s="26"/>
      <c r="AAT111" s="26"/>
      <c r="AAU111" s="26"/>
      <c r="AAV111" s="26"/>
      <c r="AAW111" s="26"/>
      <c r="AAX111" s="26"/>
      <c r="AAY111" s="26"/>
      <c r="AAZ111" s="26"/>
      <c r="ABA111" s="26"/>
      <c r="ABB111" s="26"/>
      <c r="ABC111" s="26"/>
      <c r="ABD111" s="26"/>
      <c r="ABE111" s="26"/>
      <c r="ABF111" s="26"/>
      <c r="ABG111" s="26"/>
      <c r="ABH111" s="26"/>
      <c r="ABI111" s="26"/>
      <c r="ABJ111" s="26"/>
      <c r="ABK111" s="26"/>
      <c r="ABL111" s="26"/>
      <c r="ABM111" s="26"/>
      <c r="ABN111" s="26"/>
      <c r="ABO111" s="26"/>
      <c r="ABP111" s="26"/>
      <c r="ABQ111" s="26"/>
      <c r="ABR111" s="26"/>
      <c r="ABS111" s="26"/>
      <c r="ABT111" s="26"/>
      <c r="ABU111" s="26"/>
      <c r="ABV111" s="26"/>
      <c r="ABW111" s="26"/>
      <c r="ABX111" s="26"/>
      <c r="ABY111" s="26"/>
      <c r="ABZ111" s="26"/>
      <c r="ACA111" s="26"/>
      <c r="ACB111" s="26"/>
      <c r="ACC111" s="26"/>
      <c r="ACD111" s="26"/>
      <c r="ACE111" s="26"/>
      <c r="ACF111" s="26"/>
      <c r="ACG111" s="26"/>
      <c r="ACH111" s="26"/>
      <c r="ACI111" s="26"/>
      <c r="ACJ111" s="26"/>
      <c r="ACK111" s="26"/>
      <c r="ACL111" s="26"/>
      <c r="ACM111" s="26"/>
      <c r="ACN111" s="26"/>
      <c r="ACO111" s="26"/>
      <c r="ACP111" s="26"/>
      <c r="ACQ111" s="26"/>
      <c r="ACR111" s="26"/>
      <c r="ACS111" s="26"/>
      <c r="ACT111" s="26"/>
      <c r="ACU111" s="26"/>
      <c r="ACV111" s="26"/>
      <c r="ACW111" s="26"/>
      <c r="ACX111" s="26"/>
      <c r="ACY111" s="26"/>
      <c r="ACZ111" s="26"/>
      <c r="ADA111" s="26"/>
      <c r="ADB111" s="26"/>
      <c r="ADC111" s="26"/>
      <c r="ADD111" s="26"/>
      <c r="ADE111" s="26"/>
      <c r="ADF111" s="26"/>
      <c r="ADG111" s="26"/>
      <c r="ADH111" s="26"/>
      <c r="ADI111" s="26"/>
      <c r="ADJ111" s="26"/>
      <c r="ADK111" s="26"/>
      <c r="ADL111" s="26"/>
      <c r="ADM111" s="26"/>
      <c r="ADN111" s="26"/>
      <c r="ADO111" s="26"/>
      <c r="ADP111" s="26"/>
      <c r="ADQ111" s="26"/>
      <c r="ADR111" s="26"/>
      <c r="ADS111" s="26"/>
      <c r="ADT111" s="26"/>
      <c r="ADU111" s="26"/>
      <c r="ADV111" s="26"/>
      <c r="ADW111" s="26"/>
      <c r="ADX111" s="26"/>
      <c r="ADY111" s="26"/>
      <c r="ADZ111" s="26"/>
      <c r="AEA111" s="26"/>
      <c r="AEB111" s="26"/>
      <c r="AEC111" s="26"/>
      <c r="AED111" s="26"/>
      <c r="AEE111" s="26"/>
      <c r="AEF111" s="26"/>
      <c r="AEG111" s="26"/>
      <c r="AEH111" s="26"/>
      <c r="AEI111" s="26"/>
      <c r="AEJ111" s="26"/>
      <c r="AEK111" s="26"/>
      <c r="AEL111" s="26"/>
      <c r="AEM111" s="26"/>
      <c r="AEN111" s="26"/>
      <c r="AEO111" s="26"/>
      <c r="AEP111" s="26"/>
      <c r="AEQ111" s="26"/>
      <c r="AER111" s="26"/>
      <c r="AES111" s="26"/>
      <c r="AET111" s="26"/>
      <c r="AEU111" s="26"/>
      <c r="AEV111" s="26"/>
      <c r="AEW111" s="26"/>
      <c r="AEX111" s="26"/>
      <c r="AEY111" s="26"/>
      <c r="AEZ111" s="26"/>
      <c r="AFA111" s="26"/>
      <c r="AFB111" s="26"/>
      <c r="AFC111" s="26"/>
      <c r="AFD111" s="26"/>
      <c r="AFE111" s="26"/>
      <c r="AFF111" s="26"/>
      <c r="AFG111" s="26"/>
      <c r="AFH111" s="26"/>
      <c r="AFI111" s="26"/>
      <c r="AFJ111" s="26"/>
      <c r="AFK111" s="26"/>
      <c r="AFL111" s="26"/>
      <c r="AFM111" s="26"/>
      <c r="AFN111" s="26"/>
      <c r="AFO111" s="26"/>
      <c r="AFP111" s="26"/>
      <c r="AFQ111" s="26"/>
      <c r="AFR111" s="26"/>
      <c r="AFS111" s="26"/>
      <c r="AFT111" s="26"/>
      <c r="AFU111" s="26"/>
      <c r="AFV111" s="26"/>
      <c r="AFW111" s="26"/>
      <c r="AFX111" s="26"/>
      <c r="AFY111" s="26"/>
      <c r="AFZ111" s="26"/>
      <c r="AGA111" s="26"/>
      <c r="AGB111" s="26"/>
      <c r="AGC111" s="26"/>
      <c r="AGD111" s="26"/>
      <c r="AGE111" s="26"/>
      <c r="AGF111" s="26"/>
      <c r="AGG111" s="26"/>
      <c r="AGH111" s="26"/>
      <c r="AGI111" s="26"/>
      <c r="AGJ111" s="26"/>
      <c r="AGK111" s="26"/>
      <c r="AGL111" s="26"/>
      <c r="AGM111" s="26"/>
      <c r="AGN111" s="26"/>
      <c r="AGO111" s="26"/>
      <c r="AGP111" s="26"/>
      <c r="AGQ111" s="26"/>
      <c r="AGR111" s="26"/>
      <c r="AGS111" s="26"/>
      <c r="AGT111" s="26"/>
      <c r="AGU111" s="26"/>
      <c r="AGV111" s="26"/>
      <c r="AGW111" s="26"/>
      <c r="AGX111" s="26"/>
      <c r="AGY111" s="26"/>
      <c r="AGZ111" s="26"/>
      <c r="AHA111" s="26"/>
      <c r="AHB111" s="26"/>
      <c r="AHC111" s="26"/>
      <c r="AHD111" s="26"/>
      <c r="AHE111" s="26"/>
      <c r="AHF111" s="26"/>
      <c r="AHG111" s="26"/>
      <c r="AHH111" s="26"/>
      <c r="AHI111" s="26"/>
      <c r="AHJ111" s="26"/>
      <c r="AHK111" s="26"/>
      <c r="AHL111" s="26"/>
      <c r="AHM111" s="26"/>
      <c r="AHN111" s="26"/>
      <c r="AHO111" s="26"/>
      <c r="AHP111" s="26"/>
      <c r="AHQ111" s="26"/>
      <c r="AHR111" s="26"/>
      <c r="AHS111" s="26"/>
      <c r="AHT111" s="26"/>
      <c r="AHU111" s="26"/>
      <c r="AHV111" s="26"/>
      <c r="AHW111" s="26"/>
      <c r="AHX111" s="26"/>
      <c r="AHY111" s="26"/>
      <c r="AHZ111" s="26"/>
      <c r="AIA111" s="26"/>
      <c r="AIB111" s="26"/>
      <c r="AIC111" s="26"/>
      <c r="AID111" s="26"/>
      <c r="AIE111" s="26"/>
      <c r="AIF111" s="26"/>
      <c r="AIG111" s="26"/>
      <c r="AIH111" s="26"/>
      <c r="AII111" s="26"/>
      <c r="AIJ111" s="26"/>
      <c r="AIK111" s="26"/>
      <c r="AIL111" s="26"/>
      <c r="AIM111" s="26"/>
      <c r="AIN111" s="26"/>
      <c r="AIO111" s="26"/>
      <c r="AIP111" s="26"/>
      <c r="AIQ111" s="26"/>
      <c r="AIR111" s="26"/>
      <c r="AIS111" s="26"/>
      <c r="AIT111" s="26"/>
      <c r="AIU111" s="26"/>
      <c r="AIV111" s="26"/>
      <c r="AIW111" s="26"/>
      <c r="AIX111" s="26"/>
      <c r="AIY111" s="26"/>
      <c r="AIZ111" s="26"/>
      <c r="AJA111" s="26"/>
      <c r="AJB111" s="26"/>
      <c r="AJC111" s="26"/>
      <c r="AJD111" s="26"/>
      <c r="AJE111" s="26"/>
      <c r="AJF111" s="26"/>
      <c r="AJG111" s="26"/>
      <c r="AJH111" s="26"/>
      <c r="AJI111" s="26"/>
      <c r="AJJ111" s="26"/>
      <c r="AJK111" s="26"/>
      <c r="AJL111" s="26"/>
      <c r="AJM111" s="26"/>
      <c r="AJN111" s="26"/>
      <c r="AJO111" s="26"/>
      <c r="AJP111" s="26"/>
      <c r="AJQ111" s="26"/>
      <c r="AJR111" s="26"/>
      <c r="AJS111" s="26"/>
      <c r="AJT111" s="26"/>
      <c r="AJU111" s="26"/>
      <c r="AJV111" s="26"/>
      <c r="AJW111" s="26"/>
      <c r="AJX111" s="26"/>
      <c r="AJY111" s="26"/>
      <c r="AJZ111" s="26"/>
      <c r="AKA111" s="26"/>
      <c r="AKB111" s="26"/>
      <c r="AKC111" s="26"/>
      <c r="AKD111" s="26"/>
      <c r="AKE111" s="26"/>
      <c r="AKF111" s="26"/>
      <c r="AKG111" s="26"/>
      <c r="AKH111" s="26"/>
      <c r="AKI111" s="26"/>
      <c r="AKJ111" s="26"/>
      <c r="AKK111" s="26"/>
      <c r="AKL111" s="26"/>
      <c r="AKM111" s="26"/>
      <c r="AKN111" s="26"/>
      <c r="AKO111" s="26"/>
      <c r="AKP111" s="26"/>
      <c r="AKQ111" s="26"/>
      <c r="AKR111" s="26"/>
      <c r="AKS111" s="26"/>
      <c r="AKT111" s="26"/>
      <c r="AKU111" s="26"/>
      <c r="AKV111" s="26"/>
      <c r="AKW111" s="26"/>
      <c r="AKX111" s="26"/>
      <c r="AKY111" s="26"/>
      <c r="AKZ111" s="26"/>
      <c r="ALA111" s="26"/>
      <c r="ALB111" s="26"/>
      <c r="ALC111" s="26"/>
      <c r="ALD111" s="26"/>
      <c r="ALE111" s="26"/>
      <c r="ALF111" s="26"/>
      <c r="ALG111" s="26"/>
      <c r="ALH111" s="26"/>
      <c r="ALI111" s="26"/>
      <c r="ALJ111" s="26"/>
      <c r="ALK111" s="26"/>
      <c r="ALL111" s="26"/>
      <c r="ALM111" s="26"/>
      <c r="ALN111" s="26"/>
      <c r="ALO111" s="26"/>
      <c r="ALP111" s="26"/>
      <c r="ALQ111" s="26"/>
      <c r="ALR111" s="26"/>
      <c r="ALS111" s="26"/>
      <c r="ALT111" s="26"/>
      <c r="ALU111" s="26"/>
      <c r="ALV111" s="26"/>
      <c r="ALW111" s="26"/>
      <c r="ALX111" s="26"/>
      <c r="ALY111" s="26"/>
      <c r="ALZ111" s="26"/>
      <c r="AMA111" s="26"/>
      <c r="AMB111" s="26"/>
      <c r="AMC111" s="26"/>
      <c r="AMD111" s="26"/>
      <c r="AME111" s="26"/>
      <c r="AMF111" s="26"/>
      <c r="AMG111" s="26"/>
      <c r="AMH111" s="26"/>
      <c r="AMI111" s="26"/>
      <c r="AMJ111" s="26"/>
    </row>
    <row r="112" spans="1:1024" s="25" customFormat="1" ht="25.5">
      <c r="A112" s="189" t="s">
        <v>47</v>
      </c>
      <c r="B112" s="189">
        <v>99262</v>
      </c>
      <c r="C112" s="189" t="s">
        <v>14</v>
      </c>
      <c r="D112" s="24" t="s">
        <v>760</v>
      </c>
      <c r="E112" s="189" t="s">
        <v>118</v>
      </c>
      <c r="F112" s="193">
        <f>'MEMÓRIA DE CÁLCULO'!H822</f>
        <v>7</v>
      </c>
      <c r="G112" s="198">
        <v>433.4</v>
      </c>
      <c r="H112" s="36">
        <f t="shared" ref="H112:H113" si="51">ROUND((G112*$I$10)+G112,2)</f>
        <v>529.74</v>
      </c>
      <c r="I112" s="71">
        <f t="shared" ref="I112" si="52">ROUND(F112*H112,2)</f>
        <v>3708.18</v>
      </c>
    </row>
    <row r="113" spans="1:9" s="25" customFormat="1" ht="25.5">
      <c r="A113" s="192" t="s">
        <v>128</v>
      </c>
      <c r="B113" s="192" t="s">
        <v>296</v>
      </c>
      <c r="C113" s="192" t="s">
        <v>12</v>
      </c>
      <c r="D113" s="24" t="s">
        <v>297</v>
      </c>
      <c r="E113" s="192" t="s">
        <v>111</v>
      </c>
      <c r="F113" s="193">
        <f>'MEMÓRIA DE CÁLCULO'!H825</f>
        <v>24</v>
      </c>
      <c r="G113" s="198">
        <v>26.75</v>
      </c>
      <c r="H113" s="36">
        <f t="shared" si="51"/>
        <v>32.700000000000003</v>
      </c>
      <c r="I113" s="71">
        <f t="shared" ref="I113" si="53">ROUND(F113*H113,2)</f>
        <v>784.8</v>
      </c>
    </row>
    <row r="114" spans="1:9" s="25" customFormat="1" ht="51">
      <c r="A114" s="220" t="s">
        <v>288</v>
      </c>
      <c r="B114" s="228" t="s">
        <v>398</v>
      </c>
      <c r="C114" s="220" t="s">
        <v>12</v>
      </c>
      <c r="D114" s="24" t="s">
        <v>399</v>
      </c>
      <c r="E114" s="220" t="s">
        <v>111</v>
      </c>
      <c r="F114" s="193">
        <f>'MEMÓRIA DE CÁLCULO'!H828</f>
        <v>111.92000000000002</v>
      </c>
      <c r="G114" s="198">
        <v>51.06</v>
      </c>
      <c r="H114" s="36">
        <f t="shared" ref="H114" si="54">ROUND((G114*$I$10)+G114,2)</f>
        <v>62.41</v>
      </c>
      <c r="I114" s="71">
        <f t="shared" ref="I114" si="55">ROUND(F114*H114,2)</f>
        <v>6984.93</v>
      </c>
    </row>
    <row r="115" spans="1:9" s="25" customFormat="1" ht="12.75">
      <c r="A115" s="261" t="s">
        <v>380</v>
      </c>
      <c r="B115" s="262"/>
      <c r="C115" s="262"/>
      <c r="D115" s="262"/>
      <c r="E115" s="262"/>
      <c r="F115" s="262"/>
      <c r="G115" s="263"/>
      <c r="H115" s="257">
        <f>SUM(I112:I114)</f>
        <v>11477.91</v>
      </c>
      <c r="I115" s="258"/>
    </row>
    <row r="116" spans="1:9" s="25" customFormat="1" ht="12.75">
      <c r="A116" s="73">
        <v>14</v>
      </c>
      <c r="B116" s="271"/>
      <c r="C116" s="272"/>
      <c r="D116" s="287" t="s">
        <v>48</v>
      </c>
      <c r="E116" s="288"/>
      <c r="F116" s="288"/>
      <c r="G116" s="288"/>
      <c r="H116" s="289"/>
      <c r="I116" s="10">
        <f>H119</f>
        <v>1223.8800000000001</v>
      </c>
    </row>
    <row r="117" spans="1:9" s="25" customFormat="1" ht="25.5">
      <c r="A117" s="62" t="s">
        <v>49</v>
      </c>
      <c r="B117" s="62" t="s">
        <v>132</v>
      </c>
      <c r="C117" s="62" t="s">
        <v>12</v>
      </c>
      <c r="D117" s="66" t="s">
        <v>133</v>
      </c>
      <c r="E117" s="62" t="s">
        <v>118</v>
      </c>
      <c r="F117" s="196">
        <f>'MEMÓRIA DE CÁLCULO'!H833</f>
        <v>9</v>
      </c>
      <c r="G117" s="196">
        <v>66.45</v>
      </c>
      <c r="H117" s="36">
        <f t="shared" ref="H117:H118" si="56">ROUND((G117*$I$10)+G117,2)</f>
        <v>81.22</v>
      </c>
      <c r="I117" s="197">
        <f>ROUND(F117*H117,2)</f>
        <v>730.98</v>
      </c>
    </row>
    <row r="118" spans="1:9" s="25" customFormat="1" ht="25.5">
      <c r="A118" s="62" t="s">
        <v>270</v>
      </c>
      <c r="B118" s="62" t="s">
        <v>156</v>
      </c>
      <c r="C118" s="62" t="s">
        <v>12</v>
      </c>
      <c r="D118" s="30" t="s">
        <v>157</v>
      </c>
      <c r="E118" s="62" t="s">
        <v>118</v>
      </c>
      <c r="F118" s="196">
        <f>'MEMÓRIA DE CÁLCULO'!H841</f>
        <v>6</v>
      </c>
      <c r="G118" s="196">
        <v>67.209999999999994</v>
      </c>
      <c r="H118" s="36">
        <f t="shared" si="56"/>
        <v>82.15</v>
      </c>
      <c r="I118" s="197">
        <f>ROUND(F118*H118,2)</f>
        <v>492.9</v>
      </c>
    </row>
    <row r="119" spans="1:9" s="3" customFormat="1" ht="12.75">
      <c r="A119" s="261" t="s">
        <v>381</v>
      </c>
      <c r="B119" s="262"/>
      <c r="C119" s="262"/>
      <c r="D119" s="262"/>
      <c r="E119" s="262"/>
      <c r="F119" s="262"/>
      <c r="G119" s="263"/>
      <c r="H119" s="257">
        <f>SUM(I117:I118)</f>
        <v>1223.8800000000001</v>
      </c>
      <c r="I119" s="258"/>
    </row>
    <row r="120" spans="1:9" s="3" customFormat="1" ht="12.75">
      <c r="A120" s="73">
        <v>15</v>
      </c>
      <c r="B120" s="271"/>
      <c r="C120" s="272"/>
      <c r="D120" s="287" t="s">
        <v>50</v>
      </c>
      <c r="E120" s="288"/>
      <c r="F120" s="288"/>
      <c r="G120" s="288"/>
      <c r="H120" s="289"/>
      <c r="I120" s="10">
        <f>H141</f>
        <v>18173.149999999994</v>
      </c>
    </row>
    <row r="121" spans="1:9" s="3" customFormat="1" ht="38.25">
      <c r="A121" s="13" t="s">
        <v>51</v>
      </c>
      <c r="B121" s="13" t="s">
        <v>52</v>
      </c>
      <c r="C121" s="13" t="s">
        <v>12</v>
      </c>
      <c r="D121" s="24" t="s">
        <v>134</v>
      </c>
      <c r="E121" s="82" t="s">
        <v>118</v>
      </c>
      <c r="F121" s="83">
        <f>'MEMÓRIA DE CÁLCULO'!H848</f>
        <v>8</v>
      </c>
      <c r="G121" s="72">
        <v>411.82</v>
      </c>
      <c r="H121" s="36">
        <f t="shared" ref="H121:H140" si="57">ROUND((G121*$I$10)+G121,2)</f>
        <v>503.37</v>
      </c>
      <c r="I121" s="71">
        <f t="shared" ref="I121:I140" si="58">ROUND(F121*H121,2)</f>
        <v>4026.96</v>
      </c>
    </row>
    <row r="122" spans="1:9" s="160" customFormat="1" ht="51">
      <c r="A122" s="13" t="s">
        <v>131</v>
      </c>
      <c r="B122" s="13" t="s">
        <v>232</v>
      </c>
      <c r="C122" s="13" t="s">
        <v>12</v>
      </c>
      <c r="D122" s="24" t="s">
        <v>233</v>
      </c>
      <c r="E122" s="82" t="s">
        <v>118</v>
      </c>
      <c r="F122" s="83">
        <f>'MEMÓRIA DE CÁLCULO'!H854</f>
        <v>5</v>
      </c>
      <c r="G122" s="72">
        <v>545.14</v>
      </c>
      <c r="H122" s="36">
        <f t="shared" si="57"/>
        <v>666.32</v>
      </c>
      <c r="I122" s="71">
        <f t="shared" si="58"/>
        <v>3331.6</v>
      </c>
    </row>
    <row r="123" spans="1:9" s="3" customFormat="1" ht="12.75">
      <c r="A123" s="13" t="s">
        <v>155</v>
      </c>
      <c r="B123" s="13" t="s">
        <v>53</v>
      </c>
      <c r="C123" s="13" t="s">
        <v>12</v>
      </c>
      <c r="D123" s="24" t="s">
        <v>135</v>
      </c>
      <c r="E123" s="82" t="s">
        <v>118</v>
      </c>
      <c r="F123" s="83">
        <f>'MEMÓRIA DE CÁLCULO'!H859</f>
        <v>13</v>
      </c>
      <c r="G123" s="72">
        <v>25.61</v>
      </c>
      <c r="H123" s="36">
        <f t="shared" si="57"/>
        <v>31.3</v>
      </c>
      <c r="I123" s="71">
        <f t="shared" si="58"/>
        <v>406.9</v>
      </c>
    </row>
    <row r="124" spans="1:9" s="3" customFormat="1" ht="25.5">
      <c r="A124" s="13" t="s">
        <v>158</v>
      </c>
      <c r="B124" s="168" t="s">
        <v>239</v>
      </c>
      <c r="C124" s="157" t="s">
        <v>12</v>
      </c>
      <c r="D124" s="30" t="s">
        <v>242</v>
      </c>
      <c r="E124" s="82" t="s">
        <v>118</v>
      </c>
      <c r="F124" s="35">
        <f>'MEMÓRIA DE CÁLCULO'!H867</f>
        <v>1</v>
      </c>
      <c r="G124" s="35">
        <v>140.5</v>
      </c>
      <c r="H124" s="36">
        <f t="shared" si="57"/>
        <v>171.73</v>
      </c>
      <c r="I124" s="71">
        <f t="shared" si="58"/>
        <v>171.73</v>
      </c>
    </row>
    <row r="125" spans="1:9" s="3" customFormat="1" ht="25.5">
      <c r="A125" s="13" t="s">
        <v>159</v>
      </c>
      <c r="B125" s="13">
        <v>86901</v>
      </c>
      <c r="C125" s="13" t="s">
        <v>14</v>
      </c>
      <c r="D125" s="24" t="s">
        <v>243</v>
      </c>
      <c r="E125" s="82" t="s">
        <v>118</v>
      </c>
      <c r="F125" s="83">
        <f>'MEMÓRIA DE CÁLCULO'!H870</f>
        <v>2</v>
      </c>
      <c r="G125" s="72">
        <v>112.41</v>
      </c>
      <c r="H125" s="36">
        <f t="shared" si="57"/>
        <v>137.4</v>
      </c>
      <c r="I125" s="71">
        <f t="shared" si="58"/>
        <v>274.8</v>
      </c>
    </row>
    <row r="126" spans="1:9" s="3" customFormat="1" ht="63.75">
      <c r="A126" s="13" t="s">
        <v>160</v>
      </c>
      <c r="B126" s="13" t="s">
        <v>240</v>
      </c>
      <c r="C126" s="13" t="s">
        <v>12</v>
      </c>
      <c r="D126" s="24" t="s">
        <v>244</v>
      </c>
      <c r="E126" s="82" t="s">
        <v>118</v>
      </c>
      <c r="F126" s="83">
        <f>'MEMÓRIA DE CÁLCULO'!H874</f>
        <v>1</v>
      </c>
      <c r="G126" s="72">
        <v>262.67</v>
      </c>
      <c r="H126" s="36">
        <f t="shared" si="57"/>
        <v>321.06</v>
      </c>
      <c r="I126" s="71">
        <f t="shared" si="58"/>
        <v>321.06</v>
      </c>
    </row>
    <row r="127" spans="1:9" s="160" customFormat="1" ht="12.75">
      <c r="A127" s="13" t="s">
        <v>271</v>
      </c>
      <c r="B127" s="13" t="s">
        <v>238</v>
      </c>
      <c r="C127" s="13" t="s">
        <v>559</v>
      </c>
      <c r="D127" s="77" t="s">
        <v>561</v>
      </c>
      <c r="E127" s="82" t="s">
        <v>118</v>
      </c>
      <c r="F127" s="12">
        <f>'MEMÓRIA DE CÁLCULO'!H877</f>
        <v>1</v>
      </c>
      <c r="G127" s="35">
        <f>'CCU '!F29</f>
        <v>526.57000000000005</v>
      </c>
      <c r="H127" s="36">
        <f t="shared" si="57"/>
        <v>643.63</v>
      </c>
      <c r="I127" s="71">
        <f t="shared" si="58"/>
        <v>643.63</v>
      </c>
    </row>
    <row r="128" spans="1:9" s="163" customFormat="1" ht="25.5">
      <c r="A128" s="13" t="s">
        <v>272</v>
      </c>
      <c r="B128" s="13">
        <v>7349</v>
      </c>
      <c r="C128" s="13" t="s">
        <v>26</v>
      </c>
      <c r="D128" s="24" t="s">
        <v>245</v>
      </c>
      <c r="E128" s="82" t="s">
        <v>118</v>
      </c>
      <c r="F128" s="12">
        <f>'MEMÓRIA DE CÁLCULO'!H880</f>
        <v>3</v>
      </c>
      <c r="G128" s="12">
        <v>188.95</v>
      </c>
      <c r="H128" s="36">
        <f t="shared" si="57"/>
        <v>230.95</v>
      </c>
      <c r="I128" s="71">
        <f t="shared" si="58"/>
        <v>692.85</v>
      </c>
    </row>
    <row r="129" spans="1:1024" s="164" customFormat="1" ht="12.75">
      <c r="A129" s="13" t="s">
        <v>273</v>
      </c>
      <c r="B129" s="13">
        <v>95544</v>
      </c>
      <c r="C129" s="13" t="s">
        <v>14</v>
      </c>
      <c r="D129" s="24" t="s">
        <v>136</v>
      </c>
      <c r="E129" s="82" t="s">
        <v>118</v>
      </c>
      <c r="F129" s="12">
        <f>'MEMÓRIA DE CÁLCULO'!H885</f>
        <v>14</v>
      </c>
      <c r="G129" s="12">
        <v>30.17</v>
      </c>
      <c r="H129" s="36">
        <f t="shared" si="57"/>
        <v>36.880000000000003</v>
      </c>
      <c r="I129" s="71">
        <f t="shared" si="58"/>
        <v>516.32000000000005</v>
      </c>
    </row>
    <row r="130" spans="1:1024" s="160" customFormat="1" ht="51">
      <c r="A130" s="13" t="s">
        <v>274</v>
      </c>
      <c r="B130" s="161" t="s">
        <v>546</v>
      </c>
      <c r="C130" s="13" t="s">
        <v>12</v>
      </c>
      <c r="D130" s="24" t="s">
        <v>547</v>
      </c>
      <c r="E130" s="82" t="s">
        <v>118</v>
      </c>
      <c r="F130" s="162">
        <f>'MEMÓRIA DE CÁLCULO'!H888</f>
        <v>1</v>
      </c>
      <c r="G130" s="162">
        <v>456.62</v>
      </c>
      <c r="H130" s="36">
        <f t="shared" si="57"/>
        <v>558.13</v>
      </c>
      <c r="I130" s="71">
        <f t="shared" si="58"/>
        <v>558.13</v>
      </c>
    </row>
    <row r="131" spans="1:1024" s="160" customFormat="1" ht="12.75">
      <c r="A131" s="13" t="s">
        <v>275</v>
      </c>
      <c r="B131" s="157" t="s">
        <v>234</v>
      </c>
      <c r="C131" s="157" t="s">
        <v>12</v>
      </c>
      <c r="D131" s="30" t="s">
        <v>236</v>
      </c>
      <c r="E131" s="82" t="s">
        <v>118</v>
      </c>
      <c r="F131" s="35">
        <f>'MEMÓRIA DE CÁLCULO'!H891</f>
        <v>1</v>
      </c>
      <c r="G131" s="35">
        <v>203.41</v>
      </c>
      <c r="H131" s="36">
        <f t="shared" si="57"/>
        <v>248.63</v>
      </c>
      <c r="I131" s="71">
        <f t="shared" si="58"/>
        <v>248.63</v>
      </c>
    </row>
    <row r="132" spans="1:1024" s="160" customFormat="1" ht="12.75">
      <c r="A132" s="13" t="s">
        <v>276</v>
      </c>
      <c r="B132" s="157" t="s">
        <v>235</v>
      </c>
      <c r="C132" s="157" t="s">
        <v>12</v>
      </c>
      <c r="D132" s="30" t="s">
        <v>237</v>
      </c>
      <c r="E132" s="82" t="s">
        <v>118</v>
      </c>
      <c r="F132" s="35">
        <f>'MEMÓRIA DE CÁLCULO'!H894</f>
        <v>3</v>
      </c>
      <c r="G132" s="35">
        <v>99.95</v>
      </c>
      <c r="H132" s="36">
        <f t="shared" si="57"/>
        <v>122.17</v>
      </c>
      <c r="I132" s="71">
        <f t="shared" si="58"/>
        <v>366.51</v>
      </c>
    </row>
    <row r="133" spans="1:1024" s="160" customFormat="1" ht="25.5">
      <c r="A133" s="13" t="s">
        <v>277</v>
      </c>
      <c r="B133" s="157">
        <v>100865</v>
      </c>
      <c r="C133" s="157" t="s">
        <v>26</v>
      </c>
      <c r="D133" s="30" t="s">
        <v>250</v>
      </c>
      <c r="E133" s="82" t="s">
        <v>118</v>
      </c>
      <c r="F133" s="35">
        <f>'MEMÓRIA DE CÁLCULO'!H897</f>
        <v>1</v>
      </c>
      <c r="G133" s="35">
        <v>388.48</v>
      </c>
      <c r="H133" s="36">
        <f t="shared" si="57"/>
        <v>474.84</v>
      </c>
      <c r="I133" s="71">
        <f t="shared" si="58"/>
        <v>474.84</v>
      </c>
    </row>
    <row r="134" spans="1:1024" s="160" customFormat="1" ht="42" customHeight="1">
      <c r="A134" s="13" t="s">
        <v>278</v>
      </c>
      <c r="B134" s="13">
        <v>86935</v>
      </c>
      <c r="C134" s="161" t="s">
        <v>14</v>
      </c>
      <c r="D134" s="24" t="s">
        <v>246</v>
      </c>
      <c r="E134" s="82" t="s">
        <v>118</v>
      </c>
      <c r="F134" s="12">
        <f>'MEMÓRIA DE CÁLCULO'!H900</f>
        <v>1</v>
      </c>
      <c r="G134" s="12">
        <v>189.92</v>
      </c>
      <c r="H134" s="36">
        <f t="shared" si="57"/>
        <v>232.14</v>
      </c>
      <c r="I134" s="71">
        <f t="shared" si="58"/>
        <v>232.14</v>
      </c>
    </row>
    <row r="135" spans="1:1024" s="160" customFormat="1" ht="51">
      <c r="A135" s="13" t="s">
        <v>279</v>
      </c>
      <c r="B135" s="13" t="s">
        <v>241</v>
      </c>
      <c r="C135" s="13" t="s">
        <v>12</v>
      </c>
      <c r="D135" s="24" t="s">
        <v>247</v>
      </c>
      <c r="E135" s="82" t="s">
        <v>118</v>
      </c>
      <c r="F135" s="12">
        <f>'MEMÓRIA DE CÁLCULO'!H903</f>
        <v>1</v>
      </c>
      <c r="G135" s="12">
        <v>604.55999999999995</v>
      </c>
      <c r="H135" s="36">
        <f t="shared" si="57"/>
        <v>738.95</v>
      </c>
      <c r="I135" s="71">
        <f t="shared" si="58"/>
        <v>738.95</v>
      </c>
    </row>
    <row r="136" spans="1:1024" s="160" customFormat="1" ht="38.25">
      <c r="A136" s="13" t="s">
        <v>280</v>
      </c>
      <c r="B136" s="13" t="s">
        <v>207</v>
      </c>
      <c r="C136" s="13" t="s">
        <v>12</v>
      </c>
      <c r="D136" s="24" t="s">
        <v>208</v>
      </c>
      <c r="E136" s="82" t="s">
        <v>118</v>
      </c>
      <c r="F136" s="12">
        <f>'MEMÓRIA DE CÁLCULO'!H906</f>
        <v>11</v>
      </c>
      <c r="G136" s="12">
        <v>246.47</v>
      </c>
      <c r="H136" s="36">
        <f t="shared" si="57"/>
        <v>301.26</v>
      </c>
      <c r="I136" s="71">
        <f t="shared" si="58"/>
        <v>3313.86</v>
      </c>
    </row>
    <row r="137" spans="1:1024" s="160" customFormat="1" ht="25.5">
      <c r="A137" s="13" t="s">
        <v>281</v>
      </c>
      <c r="B137" s="13" t="s">
        <v>209</v>
      </c>
      <c r="C137" s="13" t="s">
        <v>12</v>
      </c>
      <c r="D137" s="24" t="s">
        <v>210</v>
      </c>
      <c r="E137" s="82" t="s">
        <v>118</v>
      </c>
      <c r="F137" s="12">
        <f>'MEMÓRIA DE CÁLCULO'!H909</f>
        <v>2</v>
      </c>
      <c r="G137" s="12">
        <v>155.41</v>
      </c>
      <c r="H137" s="36">
        <f t="shared" si="57"/>
        <v>189.96</v>
      </c>
      <c r="I137" s="71">
        <f t="shared" si="58"/>
        <v>379.92</v>
      </c>
    </row>
    <row r="138" spans="1:1024" s="160" customFormat="1" ht="25.5">
      <c r="A138" s="13" t="s">
        <v>382</v>
      </c>
      <c r="B138" s="13" t="s">
        <v>211</v>
      </c>
      <c r="C138" s="13" t="s">
        <v>12</v>
      </c>
      <c r="D138" s="24" t="s">
        <v>212</v>
      </c>
      <c r="E138" s="82" t="s">
        <v>118</v>
      </c>
      <c r="F138" s="12">
        <f>'MEMÓRIA DE CÁLCULO'!H912</f>
        <v>2</v>
      </c>
      <c r="G138" s="12">
        <v>46.88</v>
      </c>
      <c r="H138" s="36">
        <f t="shared" si="57"/>
        <v>57.3</v>
      </c>
      <c r="I138" s="71">
        <f t="shared" si="58"/>
        <v>114.6</v>
      </c>
    </row>
    <row r="139" spans="1:1024" s="160" customFormat="1" ht="25.5">
      <c r="A139" s="13" t="s">
        <v>383</v>
      </c>
      <c r="B139" s="13">
        <v>95547</v>
      </c>
      <c r="C139" s="13" t="s">
        <v>14</v>
      </c>
      <c r="D139" s="24" t="s">
        <v>137</v>
      </c>
      <c r="E139" s="82" t="s">
        <v>118</v>
      </c>
      <c r="F139" s="12">
        <f>'MEMÓRIA DE CÁLCULO'!H915</f>
        <v>12</v>
      </c>
      <c r="G139" s="12">
        <v>45.38</v>
      </c>
      <c r="H139" s="36">
        <f t="shared" si="57"/>
        <v>55.47</v>
      </c>
      <c r="I139" s="71">
        <f t="shared" si="58"/>
        <v>665.64</v>
      </c>
    </row>
    <row r="140" spans="1:1024" s="28" customFormat="1" ht="25.5">
      <c r="A140" s="13" t="s">
        <v>384</v>
      </c>
      <c r="B140" s="158" t="s">
        <v>54</v>
      </c>
      <c r="C140" s="158" t="s">
        <v>13</v>
      </c>
      <c r="D140" s="24" t="s">
        <v>147</v>
      </c>
      <c r="E140" s="82" t="s">
        <v>118</v>
      </c>
      <c r="F140" s="12">
        <f>'MEMÓRIA DE CÁLCULO'!H918</f>
        <v>12</v>
      </c>
      <c r="G140" s="12">
        <v>47.32</v>
      </c>
      <c r="H140" s="36">
        <f t="shared" si="57"/>
        <v>57.84</v>
      </c>
      <c r="I140" s="71">
        <f t="shared" si="58"/>
        <v>694.08</v>
      </c>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c r="IW140" s="26"/>
      <c r="IX140" s="26"/>
      <c r="IY140" s="26"/>
      <c r="IZ140" s="26"/>
      <c r="JA140" s="26"/>
      <c r="JB140" s="26"/>
      <c r="JC140" s="26"/>
      <c r="JD140" s="26"/>
      <c r="JE140" s="26"/>
      <c r="JF140" s="26"/>
      <c r="JG140" s="26"/>
      <c r="JH140" s="26"/>
      <c r="JI140" s="26"/>
      <c r="JJ140" s="26"/>
      <c r="JK140" s="26"/>
      <c r="JL140" s="26"/>
      <c r="JM140" s="26"/>
      <c r="JN140" s="26"/>
      <c r="JO140" s="26"/>
      <c r="JP140" s="26"/>
      <c r="JQ140" s="26"/>
      <c r="JR140" s="26"/>
      <c r="JS140" s="26"/>
      <c r="JT140" s="26"/>
      <c r="JU140" s="26"/>
      <c r="JV140" s="26"/>
      <c r="JW140" s="26"/>
      <c r="JX140" s="26"/>
      <c r="JY140" s="26"/>
      <c r="JZ140" s="26"/>
      <c r="KA140" s="26"/>
      <c r="KB140" s="26"/>
      <c r="KC140" s="26"/>
      <c r="KD140" s="26"/>
      <c r="KE140" s="26"/>
      <c r="KF140" s="26"/>
      <c r="KG140" s="26"/>
      <c r="KH140" s="26"/>
      <c r="KI140" s="26"/>
      <c r="KJ140" s="26"/>
      <c r="KK140" s="26"/>
      <c r="KL140" s="26"/>
      <c r="KM140" s="26"/>
      <c r="KN140" s="26"/>
      <c r="KO140" s="26"/>
      <c r="KP140" s="26"/>
      <c r="KQ140" s="26"/>
      <c r="KR140" s="26"/>
      <c r="KS140" s="26"/>
      <c r="KT140" s="26"/>
      <c r="KU140" s="26"/>
      <c r="KV140" s="26"/>
      <c r="KW140" s="26"/>
      <c r="KX140" s="26"/>
      <c r="KY140" s="26"/>
      <c r="KZ140" s="26"/>
      <c r="LA140" s="26"/>
      <c r="LB140" s="26"/>
      <c r="LC140" s="26"/>
      <c r="LD140" s="26"/>
      <c r="LE140" s="26"/>
      <c r="LF140" s="26"/>
      <c r="LG140" s="26"/>
      <c r="LH140" s="26"/>
      <c r="LI140" s="26"/>
      <c r="LJ140" s="26"/>
      <c r="LK140" s="26"/>
      <c r="LL140" s="26"/>
      <c r="LM140" s="26"/>
      <c r="LN140" s="26"/>
      <c r="LO140" s="26"/>
      <c r="LP140" s="26"/>
      <c r="LQ140" s="26"/>
      <c r="LR140" s="26"/>
      <c r="LS140" s="26"/>
      <c r="LT140" s="26"/>
      <c r="LU140" s="26"/>
      <c r="LV140" s="26"/>
      <c r="LW140" s="26"/>
      <c r="LX140" s="26"/>
      <c r="LY140" s="26"/>
      <c r="LZ140" s="26"/>
      <c r="MA140" s="26"/>
      <c r="MB140" s="26"/>
      <c r="MC140" s="26"/>
      <c r="MD140" s="26"/>
      <c r="ME140" s="26"/>
      <c r="MF140" s="26"/>
      <c r="MG140" s="26"/>
      <c r="MH140" s="26"/>
      <c r="MI140" s="26"/>
      <c r="MJ140" s="26"/>
      <c r="MK140" s="26"/>
      <c r="ML140" s="26"/>
      <c r="MM140" s="26"/>
      <c r="MN140" s="26"/>
      <c r="MO140" s="26"/>
      <c r="MP140" s="26"/>
      <c r="MQ140" s="26"/>
      <c r="MR140" s="26"/>
      <c r="MS140" s="26"/>
      <c r="MT140" s="26"/>
      <c r="MU140" s="26"/>
      <c r="MV140" s="26"/>
      <c r="MW140" s="26"/>
      <c r="MX140" s="26"/>
      <c r="MY140" s="26"/>
      <c r="MZ140" s="26"/>
      <c r="NA140" s="26"/>
      <c r="NB140" s="26"/>
      <c r="NC140" s="26"/>
      <c r="ND140" s="26"/>
      <c r="NE140" s="26"/>
      <c r="NF140" s="26"/>
      <c r="NG140" s="26"/>
      <c r="NH140" s="26"/>
      <c r="NI140" s="26"/>
      <c r="NJ140" s="26"/>
      <c r="NK140" s="26"/>
      <c r="NL140" s="26"/>
      <c r="NM140" s="26"/>
      <c r="NN140" s="26"/>
      <c r="NO140" s="26"/>
      <c r="NP140" s="26"/>
      <c r="NQ140" s="26"/>
      <c r="NR140" s="26"/>
      <c r="NS140" s="26"/>
      <c r="NT140" s="26"/>
      <c r="NU140" s="26"/>
      <c r="NV140" s="26"/>
      <c r="NW140" s="26"/>
      <c r="NX140" s="26"/>
      <c r="NY140" s="26"/>
      <c r="NZ140" s="26"/>
      <c r="OA140" s="26"/>
      <c r="OB140" s="26"/>
      <c r="OC140" s="26"/>
      <c r="OD140" s="26"/>
      <c r="OE140" s="26"/>
      <c r="OF140" s="26"/>
      <c r="OG140" s="26"/>
      <c r="OH140" s="26"/>
      <c r="OI140" s="26"/>
      <c r="OJ140" s="26"/>
      <c r="OK140" s="26"/>
      <c r="OL140" s="26"/>
      <c r="OM140" s="26"/>
      <c r="ON140" s="26"/>
      <c r="OO140" s="26"/>
      <c r="OP140" s="26"/>
      <c r="OQ140" s="26"/>
      <c r="OR140" s="26"/>
      <c r="OS140" s="26"/>
      <c r="OT140" s="26"/>
      <c r="OU140" s="26"/>
      <c r="OV140" s="26"/>
      <c r="OW140" s="26"/>
      <c r="OX140" s="26"/>
      <c r="OY140" s="26"/>
      <c r="OZ140" s="26"/>
      <c r="PA140" s="26"/>
      <c r="PB140" s="26"/>
      <c r="PC140" s="26"/>
      <c r="PD140" s="26"/>
      <c r="PE140" s="26"/>
      <c r="PF140" s="26"/>
      <c r="PG140" s="26"/>
      <c r="PH140" s="26"/>
      <c r="PI140" s="26"/>
      <c r="PJ140" s="26"/>
      <c r="PK140" s="26"/>
      <c r="PL140" s="26"/>
      <c r="PM140" s="26"/>
      <c r="PN140" s="26"/>
      <c r="PO140" s="26"/>
      <c r="PP140" s="26"/>
      <c r="PQ140" s="26"/>
      <c r="PR140" s="26"/>
      <c r="PS140" s="26"/>
      <c r="PT140" s="26"/>
      <c r="PU140" s="26"/>
      <c r="PV140" s="26"/>
      <c r="PW140" s="26"/>
      <c r="PX140" s="26"/>
      <c r="PY140" s="26"/>
      <c r="PZ140" s="26"/>
      <c r="QA140" s="26"/>
      <c r="QB140" s="26"/>
      <c r="QC140" s="26"/>
      <c r="QD140" s="26"/>
      <c r="QE140" s="26"/>
      <c r="QF140" s="26"/>
      <c r="QG140" s="26"/>
      <c r="QH140" s="26"/>
      <c r="QI140" s="26"/>
      <c r="QJ140" s="26"/>
      <c r="QK140" s="26"/>
      <c r="QL140" s="26"/>
      <c r="QM140" s="26"/>
      <c r="QN140" s="26"/>
      <c r="QO140" s="26"/>
      <c r="QP140" s="26"/>
      <c r="QQ140" s="26"/>
      <c r="QR140" s="26"/>
      <c r="QS140" s="26"/>
      <c r="QT140" s="26"/>
      <c r="QU140" s="26"/>
      <c r="QV140" s="26"/>
      <c r="QW140" s="26"/>
      <c r="QX140" s="26"/>
      <c r="QY140" s="26"/>
      <c r="QZ140" s="26"/>
      <c r="RA140" s="26"/>
      <c r="RB140" s="26"/>
      <c r="RC140" s="26"/>
      <c r="RD140" s="26"/>
      <c r="RE140" s="26"/>
      <c r="RF140" s="26"/>
      <c r="RG140" s="26"/>
      <c r="RH140" s="26"/>
      <c r="RI140" s="26"/>
      <c r="RJ140" s="26"/>
      <c r="RK140" s="26"/>
      <c r="RL140" s="26"/>
      <c r="RM140" s="26"/>
      <c r="RN140" s="26"/>
      <c r="RO140" s="26"/>
      <c r="RP140" s="26"/>
      <c r="RQ140" s="26"/>
      <c r="RR140" s="26"/>
      <c r="RS140" s="26"/>
      <c r="RT140" s="26"/>
      <c r="RU140" s="26"/>
      <c r="RV140" s="26"/>
      <c r="RW140" s="26"/>
      <c r="RX140" s="26"/>
      <c r="RY140" s="26"/>
      <c r="RZ140" s="26"/>
      <c r="SA140" s="26"/>
      <c r="SB140" s="26"/>
      <c r="SC140" s="26"/>
      <c r="SD140" s="26"/>
      <c r="SE140" s="26"/>
      <c r="SF140" s="26"/>
      <c r="SG140" s="26"/>
      <c r="SH140" s="26"/>
      <c r="SI140" s="26"/>
      <c r="SJ140" s="26"/>
      <c r="SK140" s="26"/>
      <c r="SL140" s="26"/>
      <c r="SM140" s="26"/>
      <c r="SN140" s="26"/>
      <c r="SO140" s="26"/>
      <c r="SP140" s="26"/>
      <c r="SQ140" s="26"/>
      <c r="SR140" s="26"/>
      <c r="SS140" s="26"/>
      <c r="ST140" s="26"/>
      <c r="SU140" s="26"/>
      <c r="SV140" s="26"/>
      <c r="SW140" s="26"/>
      <c r="SX140" s="26"/>
      <c r="SY140" s="26"/>
      <c r="SZ140" s="26"/>
      <c r="TA140" s="26"/>
      <c r="TB140" s="26"/>
      <c r="TC140" s="26"/>
      <c r="TD140" s="26"/>
      <c r="TE140" s="26"/>
      <c r="TF140" s="26"/>
      <c r="TG140" s="26"/>
      <c r="TH140" s="26"/>
      <c r="TI140" s="26"/>
      <c r="TJ140" s="26"/>
      <c r="TK140" s="26"/>
      <c r="TL140" s="26"/>
      <c r="TM140" s="26"/>
      <c r="TN140" s="26"/>
      <c r="TO140" s="26"/>
      <c r="TP140" s="26"/>
      <c r="TQ140" s="26"/>
      <c r="TR140" s="26"/>
      <c r="TS140" s="26"/>
      <c r="TT140" s="26"/>
      <c r="TU140" s="26"/>
      <c r="TV140" s="26"/>
      <c r="TW140" s="26"/>
      <c r="TX140" s="26"/>
      <c r="TY140" s="26"/>
      <c r="TZ140" s="26"/>
      <c r="UA140" s="26"/>
      <c r="UB140" s="26"/>
      <c r="UC140" s="26"/>
      <c r="UD140" s="26"/>
      <c r="UE140" s="26"/>
      <c r="UF140" s="26"/>
      <c r="UG140" s="26"/>
      <c r="UH140" s="26"/>
      <c r="UI140" s="26"/>
      <c r="UJ140" s="26"/>
      <c r="UK140" s="26"/>
      <c r="UL140" s="26"/>
      <c r="UM140" s="26"/>
      <c r="UN140" s="26"/>
      <c r="UO140" s="26"/>
      <c r="UP140" s="26"/>
      <c r="UQ140" s="26"/>
      <c r="UR140" s="26"/>
      <c r="US140" s="26"/>
      <c r="UT140" s="26"/>
      <c r="UU140" s="26"/>
      <c r="UV140" s="26"/>
      <c r="UW140" s="26"/>
      <c r="UX140" s="26"/>
      <c r="UY140" s="26"/>
      <c r="UZ140" s="26"/>
      <c r="VA140" s="26"/>
      <c r="VB140" s="26"/>
      <c r="VC140" s="26"/>
      <c r="VD140" s="26"/>
      <c r="VE140" s="26"/>
      <c r="VF140" s="26"/>
      <c r="VG140" s="26"/>
      <c r="VH140" s="26"/>
      <c r="VI140" s="26"/>
      <c r="VJ140" s="26"/>
      <c r="VK140" s="26"/>
      <c r="VL140" s="26"/>
      <c r="VM140" s="26"/>
      <c r="VN140" s="26"/>
      <c r="VO140" s="26"/>
      <c r="VP140" s="26"/>
      <c r="VQ140" s="26"/>
      <c r="VR140" s="26"/>
      <c r="VS140" s="26"/>
      <c r="VT140" s="26"/>
      <c r="VU140" s="26"/>
      <c r="VV140" s="26"/>
      <c r="VW140" s="26"/>
      <c r="VX140" s="26"/>
      <c r="VY140" s="26"/>
      <c r="VZ140" s="26"/>
      <c r="WA140" s="26"/>
      <c r="WB140" s="26"/>
      <c r="WC140" s="26"/>
      <c r="WD140" s="26"/>
      <c r="WE140" s="26"/>
      <c r="WF140" s="26"/>
      <c r="WG140" s="26"/>
      <c r="WH140" s="26"/>
      <c r="WI140" s="26"/>
      <c r="WJ140" s="26"/>
      <c r="WK140" s="26"/>
      <c r="WL140" s="26"/>
      <c r="WM140" s="26"/>
      <c r="WN140" s="26"/>
      <c r="WO140" s="26"/>
      <c r="WP140" s="26"/>
      <c r="WQ140" s="26"/>
      <c r="WR140" s="26"/>
      <c r="WS140" s="26"/>
      <c r="WT140" s="26"/>
      <c r="WU140" s="26"/>
      <c r="WV140" s="26"/>
      <c r="WW140" s="26"/>
      <c r="WX140" s="26"/>
      <c r="WY140" s="26"/>
      <c r="WZ140" s="26"/>
      <c r="XA140" s="26"/>
      <c r="XB140" s="26"/>
      <c r="XC140" s="26"/>
      <c r="XD140" s="26"/>
      <c r="XE140" s="26"/>
      <c r="XF140" s="26"/>
      <c r="XG140" s="26"/>
      <c r="XH140" s="26"/>
      <c r="XI140" s="26"/>
      <c r="XJ140" s="26"/>
      <c r="XK140" s="26"/>
      <c r="XL140" s="26"/>
      <c r="XM140" s="26"/>
      <c r="XN140" s="26"/>
      <c r="XO140" s="26"/>
      <c r="XP140" s="26"/>
      <c r="XQ140" s="26"/>
      <c r="XR140" s="26"/>
      <c r="XS140" s="26"/>
      <c r="XT140" s="26"/>
      <c r="XU140" s="26"/>
      <c r="XV140" s="26"/>
      <c r="XW140" s="26"/>
      <c r="XX140" s="26"/>
      <c r="XY140" s="26"/>
      <c r="XZ140" s="26"/>
      <c r="YA140" s="26"/>
      <c r="YB140" s="26"/>
      <c r="YC140" s="26"/>
      <c r="YD140" s="26"/>
      <c r="YE140" s="26"/>
      <c r="YF140" s="26"/>
      <c r="YG140" s="26"/>
      <c r="YH140" s="26"/>
      <c r="YI140" s="26"/>
      <c r="YJ140" s="26"/>
      <c r="YK140" s="26"/>
      <c r="YL140" s="26"/>
      <c r="YM140" s="26"/>
      <c r="YN140" s="26"/>
      <c r="YO140" s="26"/>
      <c r="YP140" s="26"/>
      <c r="YQ140" s="26"/>
      <c r="YR140" s="26"/>
      <c r="YS140" s="26"/>
      <c r="YT140" s="26"/>
      <c r="YU140" s="26"/>
      <c r="YV140" s="26"/>
      <c r="YW140" s="26"/>
      <c r="YX140" s="26"/>
      <c r="YY140" s="26"/>
      <c r="YZ140" s="26"/>
      <c r="ZA140" s="26"/>
      <c r="ZB140" s="26"/>
      <c r="ZC140" s="26"/>
      <c r="ZD140" s="26"/>
      <c r="ZE140" s="26"/>
      <c r="ZF140" s="26"/>
      <c r="ZG140" s="26"/>
      <c r="ZH140" s="26"/>
      <c r="ZI140" s="26"/>
      <c r="ZJ140" s="26"/>
      <c r="ZK140" s="26"/>
      <c r="ZL140" s="26"/>
      <c r="ZM140" s="26"/>
      <c r="ZN140" s="26"/>
      <c r="ZO140" s="26"/>
      <c r="ZP140" s="26"/>
      <c r="ZQ140" s="26"/>
      <c r="ZR140" s="26"/>
      <c r="ZS140" s="26"/>
      <c r="ZT140" s="26"/>
      <c r="ZU140" s="26"/>
      <c r="ZV140" s="26"/>
      <c r="ZW140" s="26"/>
      <c r="ZX140" s="26"/>
      <c r="ZY140" s="26"/>
      <c r="ZZ140" s="26"/>
      <c r="AAA140" s="26"/>
      <c r="AAB140" s="26"/>
      <c r="AAC140" s="26"/>
      <c r="AAD140" s="26"/>
      <c r="AAE140" s="26"/>
      <c r="AAF140" s="26"/>
      <c r="AAG140" s="26"/>
      <c r="AAH140" s="26"/>
      <c r="AAI140" s="26"/>
      <c r="AAJ140" s="26"/>
      <c r="AAK140" s="26"/>
      <c r="AAL140" s="26"/>
      <c r="AAM140" s="26"/>
      <c r="AAN140" s="26"/>
      <c r="AAO140" s="26"/>
      <c r="AAP140" s="26"/>
      <c r="AAQ140" s="26"/>
      <c r="AAR140" s="26"/>
      <c r="AAS140" s="26"/>
      <c r="AAT140" s="26"/>
      <c r="AAU140" s="26"/>
      <c r="AAV140" s="26"/>
      <c r="AAW140" s="26"/>
      <c r="AAX140" s="26"/>
      <c r="AAY140" s="26"/>
      <c r="AAZ140" s="26"/>
      <c r="ABA140" s="26"/>
      <c r="ABB140" s="26"/>
      <c r="ABC140" s="26"/>
      <c r="ABD140" s="26"/>
      <c r="ABE140" s="26"/>
      <c r="ABF140" s="26"/>
      <c r="ABG140" s="26"/>
      <c r="ABH140" s="26"/>
      <c r="ABI140" s="26"/>
      <c r="ABJ140" s="26"/>
      <c r="ABK140" s="26"/>
      <c r="ABL140" s="26"/>
      <c r="ABM140" s="26"/>
      <c r="ABN140" s="26"/>
      <c r="ABO140" s="26"/>
      <c r="ABP140" s="26"/>
      <c r="ABQ140" s="26"/>
      <c r="ABR140" s="26"/>
      <c r="ABS140" s="26"/>
      <c r="ABT140" s="26"/>
      <c r="ABU140" s="26"/>
      <c r="ABV140" s="26"/>
      <c r="ABW140" s="26"/>
      <c r="ABX140" s="26"/>
      <c r="ABY140" s="26"/>
      <c r="ABZ140" s="26"/>
      <c r="ACA140" s="26"/>
      <c r="ACB140" s="26"/>
      <c r="ACC140" s="26"/>
      <c r="ACD140" s="26"/>
      <c r="ACE140" s="26"/>
      <c r="ACF140" s="26"/>
      <c r="ACG140" s="26"/>
      <c r="ACH140" s="26"/>
      <c r="ACI140" s="26"/>
      <c r="ACJ140" s="26"/>
      <c r="ACK140" s="26"/>
      <c r="ACL140" s="26"/>
      <c r="ACM140" s="26"/>
      <c r="ACN140" s="26"/>
      <c r="ACO140" s="26"/>
      <c r="ACP140" s="26"/>
      <c r="ACQ140" s="26"/>
      <c r="ACR140" s="26"/>
      <c r="ACS140" s="26"/>
      <c r="ACT140" s="26"/>
      <c r="ACU140" s="26"/>
      <c r="ACV140" s="26"/>
      <c r="ACW140" s="26"/>
      <c r="ACX140" s="26"/>
      <c r="ACY140" s="26"/>
      <c r="ACZ140" s="26"/>
      <c r="ADA140" s="26"/>
      <c r="ADB140" s="26"/>
      <c r="ADC140" s="26"/>
      <c r="ADD140" s="26"/>
      <c r="ADE140" s="26"/>
      <c r="ADF140" s="26"/>
      <c r="ADG140" s="26"/>
      <c r="ADH140" s="26"/>
      <c r="ADI140" s="26"/>
      <c r="ADJ140" s="26"/>
      <c r="ADK140" s="26"/>
      <c r="ADL140" s="26"/>
      <c r="ADM140" s="26"/>
      <c r="ADN140" s="26"/>
      <c r="ADO140" s="26"/>
      <c r="ADP140" s="26"/>
      <c r="ADQ140" s="26"/>
      <c r="ADR140" s="26"/>
      <c r="ADS140" s="26"/>
      <c r="ADT140" s="26"/>
      <c r="ADU140" s="26"/>
      <c r="ADV140" s="26"/>
      <c r="ADW140" s="26"/>
      <c r="ADX140" s="26"/>
      <c r="ADY140" s="26"/>
      <c r="ADZ140" s="26"/>
      <c r="AEA140" s="26"/>
      <c r="AEB140" s="26"/>
      <c r="AEC140" s="26"/>
      <c r="AED140" s="26"/>
      <c r="AEE140" s="26"/>
      <c r="AEF140" s="26"/>
      <c r="AEG140" s="26"/>
      <c r="AEH140" s="26"/>
      <c r="AEI140" s="26"/>
      <c r="AEJ140" s="26"/>
      <c r="AEK140" s="26"/>
      <c r="AEL140" s="26"/>
      <c r="AEM140" s="26"/>
      <c r="AEN140" s="26"/>
      <c r="AEO140" s="26"/>
      <c r="AEP140" s="26"/>
      <c r="AEQ140" s="26"/>
      <c r="AER140" s="26"/>
      <c r="AES140" s="26"/>
      <c r="AET140" s="26"/>
      <c r="AEU140" s="26"/>
      <c r="AEV140" s="26"/>
      <c r="AEW140" s="26"/>
      <c r="AEX140" s="26"/>
      <c r="AEY140" s="26"/>
      <c r="AEZ140" s="26"/>
      <c r="AFA140" s="26"/>
      <c r="AFB140" s="26"/>
      <c r="AFC140" s="26"/>
      <c r="AFD140" s="26"/>
      <c r="AFE140" s="26"/>
      <c r="AFF140" s="26"/>
      <c r="AFG140" s="26"/>
      <c r="AFH140" s="26"/>
      <c r="AFI140" s="26"/>
      <c r="AFJ140" s="26"/>
      <c r="AFK140" s="26"/>
      <c r="AFL140" s="26"/>
      <c r="AFM140" s="26"/>
      <c r="AFN140" s="26"/>
      <c r="AFO140" s="26"/>
      <c r="AFP140" s="26"/>
      <c r="AFQ140" s="26"/>
      <c r="AFR140" s="26"/>
      <c r="AFS140" s="26"/>
      <c r="AFT140" s="26"/>
      <c r="AFU140" s="26"/>
      <c r="AFV140" s="26"/>
      <c r="AFW140" s="26"/>
      <c r="AFX140" s="26"/>
      <c r="AFY140" s="26"/>
      <c r="AFZ140" s="26"/>
      <c r="AGA140" s="26"/>
      <c r="AGB140" s="26"/>
      <c r="AGC140" s="26"/>
      <c r="AGD140" s="26"/>
      <c r="AGE140" s="26"/>
      <c r="AGF140" s="26"/>
      <c r="AGG140" s="26"/>
      <c r="AGH140" s="26"/>
      <c r="AGI140" s="26"/>
      <c r="AGJ140" s="26"/>
      <c r="AGK140" s="26"/>
      <c r="AGL140" s="26"/>
      <c r="AGM140" s="26"/>
      <c r="AGN140" s="26"/>
      <c r="AGO140" s="26"/>
      <c r="AGP140" s="26"/>
      <c r="AGQ140" s="26"/>
      <c r="AGR140" s="26"/>
      <c r="AGS140" s="26"/>
      <c r="AGT140" s="26"/>
      <c r="AGU140" s="26"/>
      <c r="AGV140" s="26"/>
      <c r="AGW140" s="26"/>
      <c r="AGX140" s="26"/>
      <c r="AGY140" s="26"/>
      <c r="AGZ140" s="26"/>
      <c r="AHA140" s="26"/>
      <c r="AHB140" s="26"/>
      <c r="AHC140" s="26"/>
      <c r="AHD140" s="26"/>
      <c r="AHE140" s="26"/>
      <c r="AHF140" s="26"/>
      <c r="AHG140" s="26"/>
      <c r="AHH140" s="26"/>
      <c r="AHI140" s="26"/>
      <c r="AHJ140" s="26"/>
      <c r="AHK140" s="26"/>
      <c r="AHL140" s="26"/>
      <c r="AHM140" s="26"/>
      <c r="AHN140" s="26"/>
      <c r="AHO140" s="26"/>
      <c r="AHP140" s="26"/>
      <c r="AHQ140" s="26"/>
      <c r="AHR140" s="26"/>
      <c r="AHS140" s="26"/>
      <c r="AHT140" s="26"/>
      <c r="AHU140" s="26"/>
      <c r="AHV140" s="26"/>
      <c r="AHW140" s="26"/>
      <c r="AHX140" s="26"/>
      <c r="AHY140" s="26"/>
      <c r="AHZ140" s="26"/>
      <c r="AIA140" s="26"/>
      <c r="AIB140" s="26"/>
      <c r="AIC140" s="26"/>
      <c r="AID140" s="26"/>
      <c r="AIE140" s="26"/>
      <c r="AIF140" s="26"/>
      <c r="AIG140" s="26"/>
      <c r="AIH140" s="26"/>
      <c r="AII140" s="26"/>
      <c r="AIJ140" s="26"/>
      <c r="AIK140" s="26"/>
      <c r="AIL140" s="26"/>
      <c r="AIM140" s="26"/>
      <c r="AIN140" s="26"/>
      <c r="AIO140" s="26"/>
      <c r="AIP140" s="26"/>
      <c r="AIQ140" s="26"/>
      <c r="AIR140" s="26"/>
      <c r="AIS140" s="26"/>
      <c r="AIT140" s="26"/>
      <c r="AIU140" s="26"/>
      <c r="AIV140" s="26"/>
      <c r="AIW140" s="26"/>
      <c r="AIX140" s="26"/>
      <c r="AIY140" s="26"/>
      <c r="AIZ140" s="26"/>
      <c r="AJA140" s="26"/>
      <c r="AJB140" s="26"/>
      <c r="AJC140" s="26"/>
      <c r="AJD140" s="26"/>
      <c r="AJE140" s="26"/>
      <c r="AJF140" s="26"/>
      <c r="AJG140" s="26"/>
      <c r="AJH140" s="26"/>
      <c r="AJI140" s="26"/>
      <c r="AJJ140" s="26"/>
      <c r="AJK140" s="26"/>
      <c r="AJL140" s="26"/>
      <c r="AJM140" s="26"/>
      <c r="AJN140" s="26"/>
      <c r="AJO140" s="26"/>
      <c r="AJP140" s="26"/>
      <c r="AJQ140" s="26"/>
      <c r="AJR140" s="26"/>
      <c r="AJS140" s="26"/>
      <c r="AJT140" s="26"/>
      <c r="AJU140" s="26"/>
      <c r="AJV140" s="26"/>
      <c r="AJW140" s="26"/>
      <c r="AJX140" s="26"/>
      <c r="AJY140" s="26"/>
      <c r="AJZ140" s="26"/>
      <c r="AKA140" s="26"/>
      <c r="AKB140" s="26"/>
      <c r="AKC140" s="26"/>
      <c r="AKD140" s="26"/>
      <c r="AKE140" s="26"/>
      <c r="AKF140" s="26"/>
      <c r="AKG140" s="26"/>
      <c r="AKH140" s="26"/>
      <c r="AKI140" s="26"/>
      <c r="AKJ140" s="26"/>
      <c r="AKK140" s="26"/>
      <c r="AKL140" s="26"/>
      <c r="AKM140" s="26"/>
      <c r="AKN140" s="26"/>
      <c r="AKO140" s="26"/>
      <c r="AKP140" s="26"/>
      <c r="AKQ140" s="26"/>
      <c r="AKR140" s="26"/>
      <c r="AKS140" s="26"/>
      <c r="AKT140" s="26"/>
      <c r="AKU140" s="26"/>
      <c r="AKV140" s="26"/>
      <c r="AKW140" s="26"/>
      <c r="AKX140" s="26"/>
      <c r="AKY140" s="26"/>
      <c r="AKZ140" s="26"/>
      <c r="ALA140" s="26"/>
      <c r="ALB140" s="26"/>
      <c r="ALC140" s="26"/>
      <c r="ALD140" s="26"/>
      <c r="ALE140" s="26"/>
      <c r="ALF140" s="26"/>
      <c r="ALG140" s="26"/>
      <c r="ALH140" s="26"/>
      <c r="ALI140" s="26"/>
      <c r="ALJ140" s="26"/>
      <c r="ALK140" s="26"/>
      <c r="ALL140" s="26"/>
      <c r="ALM140" s="26"/>
      <c r="ALN140" s="26"/>
      <c r="ALO140" s="26"/>
      <c r="ALP140" s="26"/>
      <c r="ALQ140" s="26"/>
      <c r="ALR140" s="26"/>
      <c r="ALS140" s="26"/>
      <c r="ALT140" s="26"/>
      <c r="ALU140" s="26"/>
      <c r="ALV140" s="26"/>
      <c r="ALW140" s="26"/>
      <c r="ALX140" s="26"/>
      <c r="ALY140" s="26"/>
      <c r="ALZ140" s="26"/>
      <c r="AMA140" s="26"/>
      <c r="AMB140" s="26"/>
      <c r="AMC140" s="26"/>
      <c r="AMD140" s="26"/>
      <c r="AME140" s="26"/>
      <c r="AMF140" s="26"/>
      <c r="AMG140" s="26"/>
      <c r="AMH140" s="26"/>
      <c r="AMI140" s="26"/>
      <c r="AMJ140" s="26"/>
    </row>
    <row r="141" spans="1:1024" s="28" customFormat="1">
      <c r="A141" s="261" t="s">
        <v>289</v>
      </c>
      <c r="B141" s="262"/>
      <c r="C141" s="262"/>
      <c r="D141" s="262"/>
      <c r="E141" s="262"/>
      <c r="F141" s="262"/>
      <c r="G141" s="263"/>
      <c r="H141" s="257">
        <f>SUM(I121:I140)</f>
        <v>18173.149999999994</v>
      </c>
      <c r="I141" s="258"/>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c r="IU141" s="26"/>
      <c r="IV141" s="26"/>
      <c r="IW141" s="26"/>
      <c r="IX141" s="26"/>
      <c r="IY141" s="26"/>
      <c r="IZ141" s="26"/>
      <c r="JA141" s="26"/>
      <c r="JB141" s="26"/>
      <c r="JC141" s="26"/>
      <c r="JD141" s="26"/>
      <c r="JE141" s="26"/>
      <c r="JF141" s="26"/>
      <c r="JG141" s="26"/>
      <c r="JH141" s="26"/>
      <c r="JI141" s="26"/>
      <c r="JJ141" s="26"/>
      <c r="JK141" s="26"/>
      <c r="JL141" s="26"/>
      <c r="JM141" s="26"/>
      <c r="JN141" s="26"/>
      <c r="JO141" s="26"/>
      <c r="JP141" s="26"/>
      <c r="JQ141" s="26"/>
      <c r="JR141" s="26"/>
      <c r="JS141" s="26"/>
      <c r="JT141" s="26"/>
      <c r="JU141" s="26"/>
      <c r="JV141" s="26"/>
      <c r="JW141" s="26"/>
      <c r="JX141" s="26"/>
      <c r="JY141" s="26"/>
      <c r="JZ141" s="26"/>
      <c r="KA141" s="26"/>
      <c r="KB141" s="26"/>
      <c r="KC141" s="26"/>
      <c r="KD141" s="26"/>
      <c r="KE141" s="26"/>
      <c r="KF141" s="26"/>
      <c r="KG141" s="26"/>
      <c r="KH141" s="26"/>
      <c r="KI141" s="26"/>
      <c r="KJ141" s="26"/>
      <c r="KK141" s="26"/>
      <c r="KL141" s="26"/>
      <c r="KM141" s="26"/>
      <c r="KN141" s="26"/>
      <c r="KO141" s="26"/>
      <c r="KP141" s="26"/>
      <c r="KQ141" s="26"/>
      <c r="KR141" s="26"/>
      <c r="KS141" s="26"/>
      <c r="KT141" s="26"/>
      <c r="KU141" s="26"/>
      <c r="KV141" s="26"/>
      <c r="KW141" s="26"/>
      <c r="KX141" s="26"/>
      <c r="KY141" s="26"/>
      <c r="KZ141" s="26"/>
      <c r="LA141" s="26"/>
      <c r="LB141" s="26"/>
      <c r="LC141" s="26"/>
      <c r="LD141" s="26"/>
      <c r="LE141" s="26"/>
      <c r="LF141" s="26"/>
      <c r="LG141" s="26"/>
      <c r="LH141" s="26"/>
      <c r="LI141" s="26"/>
      <c r="LJ141" s="26"/>
      <c r="LK141" s="26"/>
      <c r="LL141" s="26"/>
      <c r="LM141" s="26"/>
      <c r="LN141" s="26"/>
      <c r="LO141" s="26"/>
      <c r="LP141" s="26"/>
      <c r="LQ141" s="26"/>
      <c r="LR141" s="26"/>
      <c r="LS141" s="26"/>
      <c r="LT141" s="26"/>
      <c r="LU141" s="26"/>
      <c r="LV141" s="26"/>
      <c r="LW141" s="26"/>
      <c r="LX141" s="26"/>
      <c r="LY141" s="26"/>
      <c r="LZ141" s="26"/>
      <c r="MA141" s="26"/>
      <c r="MB141" s="26"/>
      <c r="MC141" s="26"/>
      <c r="MD141" s="26"/>
      <c r="ME141" s="26"/>
      <c r="MF141" s="26"/>
      <c r="MG141" s="26"/>
      <c r="MH141" s="26"/>
      <c r="MI141" s="26"/>
      <c r="MJ141" s="26"/>
      <c r="MK141" s="26"/>
      <c r="ML141" s="26"/>
      <c r="MM141" s="26"/>
      <c r="MN141" s="26"/>
      <c r="MO141" s="26"/>
      <c r="MP141" s="26"/>
      <c r="MQ141" s="26"/>
      <c r="MR141" s="26"/>
      <c r="MS141" s="26"/>
      <c r="MT141" s="26"/>
      <c r="MU141" s="26"/>
      <c r="MV141" s="26"/>
      <c r="MW141" s="26"/>
      <c r="MX141" s="26"/>
      <c r="MY141" s="26"/>
      <c r="MZ141" s="26"/>
      <c r="NA141" s="26"/>
      <c r="NB141" s="26"/>
      <c r="NC141" s="26"/>
      <c r="ND141" s="26"/>
      <c r="NE141" s="26"/>
      <c r="NF141" s="26"/>
      <c r="NG141" s="26"/>
      <c r="NH141" s="26"/>
      <c r="NI141" s="26"/>
      <c r="NJ141" s="26"/>
      <c r="NK141" s="26"/>
      <c r="NL141" s="26"/>
      <c r="NM141" s="26"/>
      <c r="NN141" s="26"/>
      <c r="NO141" s="26"/>
      <c r="NP141" s="26"/>
      <c r="NQ141" s="26"/>
      <c r="NR141" s="26"/>
      <c r="NS141" s="26"/>
      <c r="NT141" s="26"/>
      <c r="NU141" s="26"/>
      <c r="NV141" s="26"/>
      <c r="NW141" s="26"/>
      <c r="NX141" s="26"/>
      <c r="NY141" s="26"/>
      <c r="NZ141" s="26"/>
      <c r="OA141" s="26"/>
      <c r="OB141" s="26"/>
      <c r="OC141" s="26"/>
      <c r="OD141" s="26"/>
      <c r="OE141" s="26"/>
      <c r="OF141" s="26"/>
      <c r="OG141" s="26"/>
      <c r="OH141" s="26"/>
      <c r="OI141" s="26"/>
      <c r="OJ141" s="26"/>
      <c r="OK141" s="26"/>
      <c r="OL141" s="26"/>
      <c r="OM141" s="26"/>
      <c r="ON141" s="26"/>
      <c r="OO141" s="26"/>
      <c r="OP141" s="26"/>
      <c r="OQ141" s="26"/>
      <c r="OR141" s="26"/>
      <c r="OS141" s="26"/>
      <c r="OT141" s="26"/>
      <c r="OU141" s="26"/>
      <c r="OV141" s="26"/>
      <c r="OW141" s="26"/>
      <c r="OX141" s="26"/>
      <c r="OY141" s="26"/>
      <c r="OZ141" s="26"/>
      <c r="PA141" s="26"/>
      <c r="PB141" s="26"/>
      <c r="PC141" s="26"/>
      <c r="PD141" s="26"/>
      <c r="PE141" s="26"/>
      <c r="PF141" s="26"/>
      <c r="PG141" s="26"/>
      <c r="PH141" s="26"/>
      <c r="PI141" s="26"/>
      <c r="PJ141" s="26"/>
      <c r="PK141" s="26"/>
      <c r="PL141" s="26"/>
      <c r="PM141" s="26"/>
      <c r="PN141" s="26"/>
      <c r="PO141" s="26"/>
      <c r="PP141" s="26"/>
      <c r="PQ141" s="26"/>
      <c r="PR141" s="26"/>
      <c r="PS141" s="26"/>
      <c r="PT141" s="26"/>
      <c r="PU141" s="26"/>
      <c r="PV141" s="26"/>
      <c r="PW141" s="26"/>
      <c r="PX141" s="26"/>
      <c r="PY141" s="26"/>
      <c r="PZ141" s="26"/>
      <c r="QA141" s="26"/>
      <c r="QB141" s="26"/>
      <c r="QC141" s="26"/>
      <c r="QD141" s="26"/>
      <c r="QE141" s="26"/>
      <c r="QF141" s="26"/>
      <c r="QG141" s="26"/>
      <c r="QH141" s="26"/>
      <c r="QI141" s="26"/>
      <c r="QJ141" s="26"/>
      <c r="QK141" s="26"/>
      <c r="QL141" s="26"/>
      <c r="QM141" s="26"/>
      <c r="QN141" s="26"/>
      <c r="QO141" s="26"/>
      <c r="QP141" s="26"/>
      <c r="QQ141" s="26"/>
      <c r="QR141" s="26"/>
      <c r="QS141" s="26"/>
      <c r="QT141" s="26"/>
      <c r="QU141" s="26"/>
      <c r="QV141" s="26"/>
      <c r="QW141" s="26"/>
      <c r="QX141" s="26"/>
      <c r="QY141" s="26"/>
      <c r="QZ141" s="26"/>
      <c r="RA141" s="26"/>
      <c r="RB141" s="26"/>
      <c r="RC141" s="26"/>
      <c r="RD141" s="26"/>
      <c r="RE141" s="26"/>
      <c r="RF141" s="26"/>
      <c r="RG141" s="26"/>
      <c r="RH141" s="26"/>
      <c r="RI141" s="26"/>
      <c r="RJ141" s="26"/>
      <c r="RK141" s="26"/>
      <c r="RL141" s="26"/>
      <c r="RM141" s="26"/>
      <c r="RN141" s="26"/>
      <c r="RO141" s="26"/>
      <c r="RP141" s="26"/>
      <c r="RQ141" s="26"/>
      <c r="RR141" s="26"/>
      <c r="RS141" s="26"/>
      <c r="RT141" s="26"/>
      <c r="RU141" s="26"/>
      <c r="RV141" s="26"/>
      <c r="RW141" s="26"/>
      <c r="RX141" s="26"/>
      <c r="RY141" s="26"/>
      <c r="RZ141" s="26"/>
      <c r="SA141" s="26"/>
      <c r="SB141" s="26"/>
      <c r="SC141" s="26"/>
      <c r="SD141" s="26"/>
      <c r="SE141" s="26"/>
      <c r="SF141" s="26"/>
      <c r="SG141" s="26"/>
      <c r="SH141" s="26"/>
      <c r="SI141" s="26"/>
      <c r="SJ141" s="26"/>
      <c r="SK141" s="26"/>
      <c r="SL141" s="26"/>
      <c r="SM141" s="26"/>
      <c r="SN141" s="26"/>
      <c r="SO141" s="26"/>
      <c r="SP141" s="26"/>
      <c r="SQ141" s="26"/>
      <c r="SR141" s="26"/>
      <c r="SS141" s="26"/>
      <c r="ST141" s="26"/>
      <c r="SU141" s="26"/>
      <c r="SV141" s="26"/>
      <c r="SW141" s="26"/>
      <c r="SX141" s="26"/>
      <c r="SY141" s="26"/>
      <c r="SZ141" s="26"/>
      <c r="TA141" s="26"/>
      <c r="TB141" s="26"/>
      <c r="TC141" s="26"/>
      <c r="TD141" s="26"/>
      <c r="TE141" s="26"/>
      <c r="TF141" s="26"/>
      <c r="TG141" s="26"/>
      <c r="TH141" s="26"/>
      <c r="TI141" s="26"/>
      <c r="TJ141" s="26"/>
      <c r="TK141" s="26"/>
      <c r="TL141" s="26"/>
      <c r="TM141" s="26"/>
      <c r="TN141" s="26"/>
      <c r="TO141" s="26"/>
      <c r="TP141" s="26"/>
      <c r="TQ141" s="26"/>
      <c r="TR141" s="26"/>
      <c r="TS141" s="26"/>
      <c r="TT141" s="26"/>
      <c r="TU141" s="26"/>
      <c r="TV141" s="26"/>
      <c r="TW141" s="26"/>
      <c r="TX141" s="26"/>
      <c r="TY141" s="26"/>
      <c r="TZ141" s="26"/>
      <c r="UA141" s="26"/>
      <c r="UB141" s="26"/>
      <c r="UC141" s="26"/>
      <c r="UD141" s="26"/>
      <c r="UE141" s="26"/>
      <c r="UF141" s="26"/>
      <c r="UG141" s="26"/>
      <c r="UH141" s="26"/>
      <c r="UI141" s="26"/>
      <c r="UJ141" s="26"/>
      <c r="UK141" s="26"/>
      <c r="UL141" s="26"/>
      <c r="UM141" s="26"/>
      <c r="UN141" s="26"/>
      <c r="UO141" s="26"/>
      <c r="UP141" s="26"/>
      <c r="UQ141" s="26"/>
      <c r="UR141" s="26"/>
      <c r="US141" s="26"/>
      <c r="UT141" s="26"/>
      <c r="UU141" s="26"/>
      <c r="UV141" s="26"/>
      <c r="UW141" s="26"/>
      <c r="UX141" s="26"/>
      <c r="UY141" s="26"/>
      <c r="UZ141" s="26"/>
      <c r="VA141" s="26"/>
      <c r="VB141" s="26"/>
      <c r="VC141" s="26"/>
      <c r="VD141" s="26"/>
      <c r="VE141" s="26"/>
      <c r="VF141" s="26"/>
      <c r="VG141" s="26"/>
      <c r="VH141" s="26"/>
      <c r="VI141" s="26"/>
      <c r="VJ141" s="26"/>
      <c r="VK141" s="26"/>
      <c r="VL141" s="26"/>
      <c r="VM141" s="26"/>
      <c r="VN141" s="26"/>
      <c r="VO141" s="26"/>
      <c r="VP141" s="26"/>
      <c r="VQ141" s="26"/>
      <c r="VR141" s="26"/>
      <c r="VS141" s="26"/>
      <c r="VT141" s="26"/>
      <c r="VU141" s="26"/>
      <c r="VV141" s="26"/>
      <c r="VW141" s="26"/>
      <c r="VX141" s="26"/>
      <c r="VY141" s="26"/>
      <c r="VZ141" s="26"/>
      <c r="WA141" s="26"/>
      <c r="WB141" s="26"/>
      <c r="WC141" s="26"/>
      <c r="WD141" s="26"/>
      <c r="WE141" s="26"/>
      <c r="WF141" s="26"/>
      <c r="WG141" s="26"/>
      <c r="WH141" s="26"/>
      <c r="WI141" s="26"/>
      <c r="WJ141" s="26"/>
      <c r="WK141" s="26"/>
      <c r="WL141" s="26"/>
      <c r="WM141" s="26"/>
      <c r="WN141" s="26"/>
      <c r="WO141" s="26"/>
      <c r="WP141" s="26"/>
      <c r="WQ141" s="26"/>
      <c r="WR141" s="26"/>
      <c r="WS141" s="26"/>
      <c r="WT141" s="26"/>
      <c r="WU141" s="26"/>
      <c r="WV141" s="26"/>
      <c r="WW141" s="26"/>
      <c r="WX141" s="26"/>
      <c r="WY141" s="26"/>
      <c r="WZ141" s="26"/>
      <c r="XA141" s="26"/>
      <c r="XB141" s="26"/>
      <c r="XC141" s="26"/>
      <c r="XD141" s="26"/>
      <c r="XE141" s="26"/>
      <c r="XF141" s="26"/>
      <c r="XG141" s="26"/>
      <c r="XH141" s="26"/>
      <c r="XI141" s="26"/>
      <c r="XJ141" s="26"/>
      <c r="XK141" s="26"/>
      <c r="XL141" s="26"/>
      <c r="XM141" s="26"/>
      <c r="XN141" s="26"/>
      <c r="XO141" s="26"/>
      <c r="XP141" s="26"/>
      <c r="XQ141" s="26"/>
      <c r="XR141" s="26"/>
      <c r="XS141" s="26"/>
      <c r="XT141" s="26"/>
      <c r="XU141" s="26"/>
      <c r="XV141" s="26"/>
      <c r="XW141" s="26"/>
      <c r="XX141" s="26"/>
      <c r="XY141" s="26"/>
      <c r="XZ141" s="26"/>
      <c r="YA141" s="26"/>
      <c r="YB141" s="26"/>
      <c r="YC141" s="26"/>
      <c r="YD141" s="26"/>
      <c r="YE141" s="26"/>
      <c r="YF141" s="26"/>
      <c r="YG141" s="26"/>
      <c r="YH141" s="26"/>
      <c r="YI141" s="26"/>
      <c r="YJ141" s="26"/>
      <c r="YK141" s="26"/>
      <c r="YL141" s="26"/>
      <c r="YM141" s="26"/>
      <c r="YN141" s="26"/>
      <c r="YO141" s="26"/>
      <c r="YP141" s="26"/>
      <c r="YQ141" s="26"/>
      <c r="YR141" s="26"/>
      <c r="YS141" s="26"/>
      <c r="YT141" s="26"/>
      <c r="YU141" s="26"/>
      <c r="YV141" s="26"/>
      <c r="YW141" s="26"/>
      <c r="YX141" s="26"/>
      <c r="YY141" s="26"/>
      <c r="YZ141" s="26"/>
      <c r="ZA141" s="26"/>
      <c r="ZB141" s="26"/>
      <c r="ZC141" s="26"/>
      <c r="ZD141" s="26"/>
      <c r="ZE141" s="26"/>
      <c r="ZF141" s="26"/>
      <c r="ZG141" s="26"/>
      <c r="ZH141" s="26"/>
      <c r="ZI141" s="26"/>
      <c r="ZJ141" s="26"/>
      <c r="ZK141" s="26"/>
      <c r="ZL141" s="26"/>
      <c r="ZM141" s="26"/>
      <c r="ZN141" s="26"/>
      <c r="ZO141" s="26"/>
      <c r="ZP141" s="26"/>
      <c r="ZQ141" s="26"/>
      <c r="ZR141" s="26"/>
      <c r="ZS141" s="26"/>
      <c r="ZT141" s="26"/>
      <c r="ZU141" s="26"/>
      <c r="ZV141" s="26"/>
      <c r="ZW141" s="26"/>
      <c r="ZX141" s="26"/>
      <c r="ZY141" s="26"/>
      <c r="ZZ141" s="26"/>
      <c r="AAA141" s="26"/>
      <c r="AAB141" s="26"/>
      <c r="AAC141" s="26"/>
      <c r="AAD141" s="26"/>
      <c r="AAE141" s="26"/>
      <c r="AAF141" s="26"/>
      <c r="AAG141" s="26"/>
      <c r="AAH141" s="26"/>
      <c r="AAI141" s="26"/>
      <c r="AAJ141" s="26"/>
      <c r="AAK141" s="26"/>
      <c r="AAL141" s="26"/>
      <c r="AAM141" s="26"/>
      <c r="AAN141" s="26"/>
      <c r="AAO141" s="26"/>
      <c r="AAP141" s="26"/>
      <c r="AAQ141" s="26"/>
      <c r="AAR141" s="26"/>
      <c r="AAS141" s="26"/>
      <c r="AAT141" s="26"/>
      <c r="AAU141" s="26"/>
      <c r="AAV141" s="26"/>
      <c r="AAW141" s="26"/>
      <c r="AAX141" s="26"/>
      <c r="AAY141" s="26"/>
      <c r="AAZ141" s="26"/>
      <c r="ABA141" s="26"/>
      <c r="ABB141" s="26"/>
      <c r="ABC141" s="26"/>
      <c r="ABD141" s="26"/>
      <c r="ABE141" s="26"/>
      <c r="ABF141" s="26"/>
      <c r="ABG141" s="26"/>
      <c r="ABH141" s="26"/>
      <c r="ABI141" s="26"/>
      <c r="ABJ141" s="26"/>
      <c r="ABK141" s="26"/>
      <c r="ABL141" s="26"/>
      <c r="ABM141" s="26"/>
      <c r="ABN141" s="26"/>
      <c r="ABO141" s="26"/>
      <c r="ABP141" s="26"/>
      <c r="ABQ141" s="26"/>
      <c r="ABR141" s="26"/>
      <c r="ABS141" s="26"/>
      <c r="ABT141" s="26"/>
      <c r="ABU141" s="26"/>
      <c r="ABV141" s="26"/>
      <c r="ABW141" s="26"/>
      <c r="ABX141" s="26"/>
      <c r="ABY141" s="26"/>
      <c r="ABZ141" s="26"/>
      <c r="ACA141" s="26"/>
      <c r="ACB141" s="26"/>
      <c r="ACC141" s="26"/>
      <c r="ACD141" s="26"/>
      <c r="ACE141" s="26"/>
      <c r="ACF141" s="26"/>
      <c r="ACG141" s="26"/>
      <c r="ACH141" s="26"/>
      <c r="ACI141" s="26"/>
      <c r="ACJ141" s="26"/>
      <c r="ACK141" s="26"/>
      <c r="ACL141" s="26"/>
      <c r="ACM141" s="26"/>
      <c r="ACN141" s="26"/>
      <c r="ACO141" s="26"/>
      <c r="ACP141" s="26"/>
      <c r="ACQ141" s="26"/>
      <c r="ACR141" s="26"/>
      <c r="ACS141" s="26"/>
      <c r="ACT141" s="26"/>
      <c r="ACU141" s="26"/>
      <c r="ACV141" s="26"/>
      <c r="ACW141" s="26"/>
      <c r="ACX141" s="26"/>
      <c r="ACY141" s="26"/>
      <c r="ACZ141" s="26"/>
      <c r="ADA141" s="26"/>
      <c r="ADB141" s="26"/>
      <c r="ADC141" s="26"/>
      <c r="ADD141" s="26"/>
      <c r="ADE141" s="26"/>
      <c r="ADF141" s="26"/>
      <c r="ADG141" s="26"/>
      <c r="ADH141" s="26"/>
      <c r="ADI141" s="26"/>
      <c r="ADJ141" s="26"/>
      <c r="ADK141" s="26"/>
      <c r="ADL141" s="26"/>
      <c r="ADM141" s="26"/>
      <c r="ADN141" s="26"/>
      <c r="ADO141" s="26"/>
      <c r="ADP141" s="26"/>
      <c r="ADQ141" s="26"/>
      <c r="ADR141" s="26"/>
      <c r="ADS141" s="26"/>
      <c r="ADT141" s="26"/>
      <c r="ADU141" s="26"/>
      <c r="ADV141" s="26"/>
      <c r="ADW141" s="26"/>
      <c r="ADX141" s="26"/>
      <c r="ADY141" s="26"/>
      <c r="ADZ141" s="26"/>
      <c r="AEA141" s="26"/>
      <c r="AEB141" s="26"/>
      <c r="AEC141" s="26"/>
      <c r="AED141" s="26"/>
      <c r="AEE141" s="26"/>
      <c r="AEF141" s="26"/>
      <c r="AEG141" s="26"/>
      <c r="AEH141" s="26"/>
      <c r="AEI141" s="26"/>
      <c r="AEJ141" s="26"/>
      <c r="AEK141" s="26"/>
      <c r="AEL141" s="26"/>
      <c r="AEM141" s="26"/>
      <c r="AEN141" s="26"/>
      <c r="AEO141" s="26"/>
      <c r="AEP141" s="26"/>
      <c r="AEQ141" s="26"/>
      <c r="AER141" s="26"/>
      <c r="AES141" s="26"/>
      <c r="AET141" s="26"/>
      <c r="AEU141" s="26"/>
      <c r="AEV141" s="26"/>
      <c r="AEW141" s="26"/>
      <c r="AEX141" s="26"/>
      <c r="AEY141" s="26"/>
      <c r="AEZ141" s="26"/>
      <c r="AFA141" s="26"/>
      <c r="AFB141" s="26"/>
      <c r="AFC141" s="26"/>
      <c r="AFD141" s="26"/>
      <c r="AFE141" s="26"/>
      <c r="AFF141" s="26"/>
      <c r="AFG141" s="26"/>
      <c r="AFH141" s="26"/>
      <c r="AFI141" s="26"/>
      <c r="AFJ141" s="26"/>
      <c r="AFK141" s="26"/>
      <c r="AFL141" s="26"/>
      <c r="AFM141" s="26"/>
      <c r="AFN141" s="26"/>
      <c r="AFO141" s="26"/>
      <c r="AFP141" s="26"/>
      <c r="AFQ141" s="26"/>
      <c r="AFR141" s="26"/>
      <c r="AFS141" s="26"/>
      <c r="AFT141" s="26"/>
      <c r="AFU141" s="26"/>
      <c r="AFV141" s="26"/>
      <c r="AFW141" s="26"/>
      <c r="AFX141" s="26"/>
      <c r="AFY141" s="26"/>
      <c r="AFZ141" s="26"/>
      <c r="AGA141" s="26"/>
      <c r="AGB141" s="26"/>
      <c r="AGC141" s="26"/>
      <c r="AGD141" s="26"/>
      <c r="AGE141" s="26"/>
      <c r="AGF141" s="26"/>
      <c r="AGG141" s="26"/>
      <c r="AGH141" s="26"/>
      <c r="AGI141" s="26"/>
      <c r="AGJ141" s="26"/>
      <c r="AGK141" s="26"/>
      <c r="AGL141" s="26"/>
      <c r="AGM141" s="26"/>
      <c r="AGN141" s="26"/>
      <c r="AGO141" s="26"/>
      <c r="AGP141" s="26"/>
      <c r="AGQ141" s="26"/>
      <c r="AGR141" s="26"/>
      <c r="AGS141" s="26"/>
      <c r="AGT141" s="26"/>
      <c r="AGU141" s="26"/>
      <c r="AGV141" s="26"/>
      <c r="AGW141" s="26"/>
      <c r="AGX141" s="26"/>
      <c r="AGY141" s="26"/>
      <c r="AGZ141" s="26"/>
      <c r="AHA141" s="26"/>
      <c r="AHB141" s="26"/>
      <c r="AHC141" s="26"/>
      <c r="AHD141" s="26"/>
      <c r="AHE141" s="26"/>
      <c r="AHF141" s="26"/>
      <c r="AHG141" s="26"/>
      <c r="AHH141" s="26"/>
      <c r="AHI141" s="26"/>
      <c r="AHJ141" s="26"/>
      <c r="AHK141" s="26"/>
      <c r="AHL141" s="26"/>
      <c r="AHM141" s="26"/>
      <c r="AHN141" s="26"/>
      <c r="AHO141" s="26"/>
      <c r="AHP141" s="26"/>
      <c r="AHQ141" s="26"/>
      <c r="AHR141" s="26"/>
      <c r="AHS141" s="26"/>
      <c r="AHT141" s="26"/>
      <c r="AHU141" s="26"/>
      <c r="AHV141" s="26"/>
      <c r="AHW141" s="26"/>
      <c r="AHX141" s="26"/>
      <c r="AHY141" s="26"/>
      <c r="AHZ141" s="26"/>
      <c r="AIA141" s="26"/>
      <c r="AIB141" s="26"/>
      <c r="AIC141" s="26"/>
      <c r="AID141" s="26"/>
      <c r="AIE141" s="26"/>
      <c r="AIF141" s="26"/>
      <c r="AIG141" s="26"/>
      <c r="AIH141" s="26"/>
      <c r="AII141" s="26"/>
      <c r="AIJ141" s="26"/>
      <c r="AIK141" s="26"/>
      <c r="AIL141" s="26"/>
      <c r="AIM141" s="26"/>
      <c r="AIN141" s="26"/>
      <c r="AIO141" s="26"/>
      <c r="AIP141" s="26"/>
      <c r="AIQ141" s="26"/>
      <c r="AIR141" s="26"/>
      <c r="AIS141" s="26"/>
      <c r="AIT141" s="26"/>
      <c r="AIU141" s="26"/>
      <c r="AIV141" s="26"/>
      <c r="AIW141" s="26"/>
      <c r="AIX141" s="26"/>
      <c r="AIY141" s="26"/>
      <c r="AIZ141" s="26"/>
      <c r="AJA141" s="26"/>
      <c r="AJB141" s="26"/>
      <c r="AJC141" s="26"/>
      <c r="AJD141" s="26"/>
      <c r="AJE141" s="26"/>
      <c r="AJF141" s="26"/>
      <c r="AJG141" s="26"/>
      <c r="AJH141" s="26"/>
      <c r="AJI141" s="26"/>
      <c r="AJJ141" s="26"/>
      <c r="AJK141" s="26"/>
      <c r="AJL141" s="26"/>
      <c r="AJM141" s="26"/>
      <c r="AJN141" s="26"/>
      <c r="AJO141" s="26"/>
      <c r="AJP141" s="26"/>
      <c r="AJQ141" s="26"/>
      <c r="AJR141" s="26"/>
      <c r="AJS141" s="26"/>
      <c r="AJT141" s="26"/>
      <c r="AJU141" s="26"/>
      <c r="AJV141" s="26"/>
      <c r="AJW141" s="26"/>
      <c r="AJX141" s="26"/>
      <c r="AJY141" s="26"/>
      <c r="AJZ141" s="26"/>
      <c r="AKA141" s="26"/>
      <c r="AKB141" s="26"/>
      <c r="AKC141" s="26"/>
      <c r="AKD141" s="26"/>
      <c r="AKE141" s="26"/>
      <c r="AKF141" s="26"/>
      <c r="AKG141" s="26"/>
      <c r="AKH141" s="26"/>
      <c r="AKI141" s="26"/>
      <c r="AKJ141" s="26"/>
      <c r="AKK141" s="26"/>
      <c r="AKL141" s="26"/>
      <c r="AKM141" s="26"/>
      <c r="AKN141" s="26"/>
      <c r="AKO141" s="26"/>
      <c r="AKP141" s="26"/>
      <c r="AKQ141" s="26"/>
      <c r="AKR141" s="26"/>
      <c r="AKS141" s="26"/>
      <c r="AKT141" s="26"/>
      <c r="AKU141" s="26"/>
      <c r="AKV141" s="26"/>
      <c r="AKW141" s="26"/>
      <c r="AKX141" s="26"/>
      <c r="AKY141" s="26"/>
      <c r="AKZ141" s="26"/>
      <c r="ALA141" s="26"/>
      <c r="ALB141" s="26"/>
      <c r="ALC141" s="26"/>
      <c r="ALD141" s="26"/>
      <c r="ALE141" s="26"/>
      <c r="ALF141" s="26"/>
      <c r="ALG141" s="26"/>
      <c r="ALH141" s="26"/>
      <c r="ALI141" s="26"/>
      <c r="ALJ141" s="26"/>
      <c r="ALK141" s="26"/>
      <c r="ALL141" s="26"/>
      <c r="ALM141" s="26"/>
      <c r="ALN141" s="26"/>
      <c r="ALO141" s="26"/>
      <c r="ALP141" s="26"/>
      <c r="ALQ141" s="26"/>
      <c r="ALR141" s="26"/>
      <c r="ALS141" s="26"/>
      <c r="ALT141" s="26"/>
      <c r="ALU141" s="26"/>
      <c r="ALV141" s="26"/>
      <c r="ALW141" s="26"/>
      <c r="ALX141" s="26"/>
      <c r="ALY141" s="26"/>
      <c r="ALZ141" s="26"/>
      <c r="AMA141" s="26"/>
      <c r="AMB141" s="26"/>
      <c r="AMC141" s="26"/>
      <c r="AMD141" s="26"/>
      <c r="AME141" s="26"/>
      <c r="AMF141" s="26"/>
      <c r="AMG141" s="26"/>
      <c r="AMH141" s="26"/>
      <c r="AMI141" s="26"/>
      <c r="AMJ141" s="26"/>
    </row>
    <row r="142" spans="1:1024" s="28" customFormat="1">
      <c r="A142" s="73">
        <v>16</v>
      </c>
      <c r="B142" s="271"/>
      <c r="C142" s="272"/>
      <c r="D142" s="287" t="s">
        <v>60</v>
      </c>
      <c r="E142" s="288"/>
      <c r="F142" s="288"/>
      <c r="G142" s="288"/>
      <c r="H142" s="289"/>
      <c r="I142" s="10">
        <f>H146</f>
        <v>9410.8499999999985</v>
      </c>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c r="IU142" s="26"/>
      <c r="IV142" s="26"/>
      <c r="IW142" s="26"/>
      <c r="IX142" s="26"/>
      <c r="IY142" s="26"/>
      <c r="IZ142" s="26"/>
      <c r="JA142" s="26"/>
      <c r="JB142" s="26"/>
      <c r="JC142" s="26"/>
      <c r="JD142" s="26"/>
      <c r="JE142" s="26"/>
      <c r="JF142" s="26"/>
      <c r="JG142" s="26"/>
      <c r="JH142" s="26"/>
      <c r="JI142" s="26"/>
      <c r="JJ142" s="26"/>
      <c r="JK142" s="26"/>
      <c r="JL142" s="26"/>
      <c r="JM142" s="26"/>
      <c r="JN142" s="26"/>
      <c r="JO142" s="26"/>
      <c r="JP142" s="26"/>
      <c r="JQ142" s="26"/>
      <c r="JR142" s="26"/>
      <c r="JS142" s="26"/>
      <c r="JT142" s="26"/>
      <c r="JU142" s="26"/>
      <c r="JV142" s="26"/>
      <c r="JW142" s="26"/>
      <c r="JX142" s="26"/>
      <c r="JY142" s="26"/>
      <c r="JZ142" s="26"/>
      <c r="KA142" s="26"/>
      <c r="KB142" s="26"/>
      <c r="KC142" s="26"/>
      <c r="KD142" s="26"/>
      <c r="KE142" s="26"/>
      <c r="KF142" s="26"/>
      <c r="KG142" s="26"/>
      <c r="KH142" s="26"/>
      <c r="KI142" s="26"/>
      <c r="KJ142" s="26"/>
      <c r="KK142" s="26"/>
      <c r="KL142" s="26"/>
      <c r="KM142" s="26"/>
      <c r="KN142" s="26"/>
      <c r="KO142" s="26"/>
      <c r="KP142" s="26"/>
      <c r="KQ142" s="26"/>
      <c r="KR142" s="26"/>
      <c r="KS142" s="26"/>
      <c r="KT142" s="26"/>
      <c r="KU142" s="26"/>
      <c r="KV142" s="26"/>
      <c r="KW142" s="26"/>
      <c r="KX142" s="26"/>
      <c r="KY142" s="26"/>
      <c r="KZ142" s="26"/>
      <c r="LA142" s="26"/>
      <c r="LB142" s="26"/>
      <c r="LC142" s="26"/>
      <c r="LD142" s="26"/>
      <c r="LE142" s="26"/>
      <c r="LF142" s="26"/>
      <c r="LG142" s="26"/>
      <c r="LH142" s="26"/>
      <c r="LI142" s="26"/>
      <c r="LJ142" s="26"/>
      <c r="LK142" s="26"/>
      <c r="LL142" s="26"/>
      <c r="LM142" s="26"/>
      <c r="LN142" s="26"/>
      <c r="LO142" s="26"/>
      <c r="LP142" s="26"/>
      <c r="LQ142" s="26"/>
      <c r="LR142" s="26"/>
      <c r="LS142" s="26"/>
      <c r="LT142" s="26"/>
      <c r="LU142" s="26"/>
      <c r="LV142" s="26"/>
      <c r="LW142" s="26"/>
      <c r="LX142" s="26"/>
      <c r="LY142" s="26"/>
      <c r="LZ142" s="26"/>
      <c r="MA142" s="26"/>
      <c r="MB142" s="26"/>
      <c r="MC142" s="26"/>
      <c r="MD142" s="26"/>
      <c r="ME142" s="26"/>
      <c r="MF142" s="26"/>
      <c r="MG142" s="26"/>
      <c r="MH142" s="26"/>
      <c r="MI142" s="26"/>
      <c r="MJ142" s="26"/>
      <c r="MK142" s="26"/>
      <c r="ML142" s="26"/>
      <c r="MM142" s="26"/>
      <c r="MN142" s="26"/>
      <c r="MO142" s="26"/>
      <c r="MP142" s="26"/>
      <c r="MQ142" s="26"/>
      <c r="MR142" s="26"/>
      <c r="MS142" s="26"/>
      <c r="MT142" s="26"/>
      <c r="MU142" s="26"/>
      <c r="MV142" s="26"/>
      <c r="MW142" s="26"/>
      <c r="MX142" s="26"/>
      <c r="MY142" s="26"/>
      <c r="MZ142" s="26"/>
      <c r="NA142" s="26"/>
      <c r="NB142" s="26"/>
      <c r="NC142" s="26"/>
      <c r="ND142" s="26"/>
      <c r="NE142" s="26"/>
      <c r="NF142" s="26"/>
      <c r="NG142" s="26"/>
      <c r="NH142" s="26"/>
      <c r="NI142" s="26"/>
      <c r="NJ142" s="26"/>
      <c r="NK142" s="26"/>
      <c r="NL142" s="26"/>
      <c r="NM142" s="26"/>
      <c r="NN142" s="26"/>
      <c r="NO142" s="26"/>
      <c r="NP142" s="26"/>
      <c r="NQ142" s="26"/>
      <c r="NR142" s="26"/>
      <c r="NS142" s="26"/>
      <c r="NT142" s="26"/>
      <c r="NU142" s="26"/>
      <c r="NV142" s="26"/>
      <c r="NW142" s="26"/>
      <c r="NX142" s="26"/>
      <c r="NY142" s="26"/>
      <c r="NZ142" s="26"/>
      <c r="OA142" s="26"/>
      <c r="OB142" s="26"/>
      <c r="OC142" s="26"/>
      <c r="OD142" s="26"/>
      <c r="OE142" s="26"/>
      <c r="OF142" s="26"/>
      <c r="OG142" s="26"/>
      <c r="OH142" s="26"/>
      <c r="OI142" s="26"/>
      <c r="OJ142" s="26"/>
      <c r="OK142" s="26"/>
      <c r="OL142" s="26"/>
      <c r="OM142" s="26"/>
      <c r="ON142" s="26"/>
      <c r="OO142" s="26"/>
      <c r="OP142" s="26"/>
      <c r="OQ142" s="26"/>
      <c r="OR142" s="26"/>
      <c r="OS142" s="26"/>
      <c r="OT142" s="26"/>
      <c r="OU142" s="26"/>
      <c r="OV142" s="26"/>
      <c r="OW142" s="26"/>
      <c r="OX142" s="26"/>
      <c r="OY142" s="26"/>
      <c r="OZ142" s="26"/>
      <c r="PA142" s="26"/>
      <c r="PB142" s="26"/>
      <c r="PC142" s="26"/>
      <c r="PD142" s="26"/>
      <c r="PE142" s="26"/>
      <c r="PF142" s="26"/>
      <c r="PG142" s="26"/>
      <c r="PH142" s="26"/>
      <c r="PI142" s="26"/>
      <c r="PJ142" s="26"/>
      <c r="PK142" s="26"/>
      <c r="PL142" s="26"/>
      <c r="PM142" s="26"/>
      <c r="PN142" s="26"/>
      <c r="PO142" s="26"/>
      <c r="PP142" s="26"/>
      <c r="PQ142" s="26"/>
      <c r="PR142" s="26"/>
      <c r="PS142" s="26"/>
      <c r="PT142" s="26"/>
      <c r="PU142" s="26"/>
      <c r="PV142" s="26"/>
      <c r="PW142" s="26"/>
      <c r="PX142" s="26"/>
      <c r="PY142" s="26"/>
      <c r="PZ142" s="26"/>
      <c r="QA142" s="26"/>
      <c r="QB142" s="26"/>
      <c r="QC142" s="26"/>
      <c r="QD142" s="26"/>
      <c r="QE142" s="26"/>
      <c r="QF142" s="26"/>
      <c r="QG142" s="26"/>
      <c r="QH142" s="26"/>
      <c r="QI142" s="26"/>
      <c r="QJ142" s="26"/>
      <c r="QK142" s="26"/>
      <c r="QL142" s="26"/>
      <c r="QM142" s="26"/>
      <c r="QN142" s="26"/>
      <c r="QO142" s="26"/>
      <c r="QP142" s="26"/>
      <c r="QQ142" s="26"/>
      <c r="QR142" s="26"/>
      <c r="QS142" s="26"/>
      <c r="QT142" s="26"/>
      <c r="QU142" s="26"/>
      <c r="QV142" s="26"/>
      <c r="QW142" s="26"/>
      <c r="QX142" s="26"/>
      <c r="QY142" s="26"/>
      <c r="QZ142" s="26"/>
      <c r="RA142" s="26"/>
      <c r="RB142" s="26"/>
      <c r="RC142" s="26"/>
      <c r="RD142" s="26"/>
      <c r="RE142" s="26"/>
      <c r="RF142" s="26"/>
      <c r="RG142" s="26"/>
      <c r="RH142" s="26"/>
      <c r="RI142" s="26"/>
      <c r="RJ142" s="26"/>
      <c r="RK142" s="26"/>
      <c r="RL142" s="26"/>
      <c r="RM142" s="26"/>
      <c r="RN142" s="26"/>
      <c r="RO142" s="26"/>
      <c r="RP142" s="26"/>
      <c r="RQ142" s="26"/>
      <c r="RR142" s="26"/>
      <c r="RS142" s="26"/>
      <c r="RT142" s="26"/>
      <c r="RU142" s="26"/>
      <c r="RV142" s="26"/>
      <c r="RW142" s="26"/>
      <c r="RX142" s="26"/>
      <c r="RY142" s="26"/>
      <c r="RZ142" s="26"/>
      <c r="SA142" s="26"/>
      <c r="SB142" s="26"/>
      <c r="SC142" s="26"/>
      <c r="SD142" s="26"/>
      <c r="SE142" s="26"/>
      <c r="SF142" s="26"/>
      <c r="SG142" s="26"/>
      <c r="SH142" s="26"/>
      <c r="SI142" s="26"/>
      <c r="SJ142" s="26"/>
      <c r="SK142" s="26"/>
      <c r="SL142" s="26"/>
      <c r="SM142" s="26"/>
      <c r="SN142" s="26"/>
      <c r="SO142" s="26"/>
      <c r="SP142" s="26"/>
      <c r="SQ142" s="26"/>
      <c r="SR142" s="26"/>
      <c r="SS142" s="26"/>
      <c r="ST142" s="26"/>
      <c r="SU142" s="26"/>
      <c r="SV142" s="26"/>
      <c r="SW142" s="26"/>
      <c r="SX142" s="26"/>
      <c r="SY142" s="26"/>
      <c r="SZ142" s="26"/>
      <c r="TA142" s="26"/>
      <c r="TB142" s="26"/>
      <c r="TC142" s="26"/>
      <c r="TD142" s="26"/>
      <c r="TE142" s="26"/>
      <c r="TF142" s="26"/>
      <c r="TG142" s="26"/>
      <c r="TH142" s="26"/>
      <c r="TI142" s="26"/>
      <c r="TJ142" s="26"/>
      <c r="TK142" s="26"/>
      <c r="TL142" s="26"/>
      <c r="TM142" s="26"/>
      <c r="TN142" s="26"/>
      <c r="TO142" s="26"/>
      <c r="TP142" s="26"/>
      <c r="TQ142" s="26"/>
      <c r="TR142" s="26"/>
      <c r="TS142" s="26"/>
      <c r="TT142" s="26"/>
      <c r="TU142" s="26"/>
      <c r="TV142" s="26"/>
      <c r="TW142" s="26"/>
      <c r="TX142" s="26"/>
      <c r="TY142" s="26"/>
      <c r="TZ142" s="26"/>
      <c r="UA142" s="26"/>
      <c r="UB142" s="26"/>
      <c r="UC142" s="26"/>
      <c r="UD142" s="26"/>
      <c r="UE142" s="26"/>
      <c r="UF142" s="26"/>
      <c r="UG142" s="26"/>
      <c r="UH142" s="26"/>
      <c r="UI142" s="26"/>
      <c r="UJ142" s="26"/>
      <c r="UK142" s="26"/>
      <c r="UL142" s="26"/>
      <c r="UM142" s="26"/>
      <c r="UN142" s="26"/>
      <c r="UO142" s="26"/>
      <c r="UP142" s="26"/>
      <c r="UQ142" s="26"/>
      <c r="UR142" s="26"/>
      <c r="US142" s="26"/>
      <c r="UT142" s="26"/>
      <c r="UU142" s="26"/>
      <c r="UV142" s="26"/>
      <c r="UW142" s="26"/>
      <c r="UX142" s="26"/>
      <c r="UY142" s="26"/>
      <c r="UZ142" s="26"/>
      <c r="VA142" s="26"/>
      <c r="VB142" s="26"/>
      <c r="VC142" s="26"/>
      <c r="VD142" s="26"/>
      <c r="VE142" s="26"/>
      <c r="VF142" s="26"/>
      <c r="VG142" s="26"/>
      <c r="VH142" s="26"/>
      <c r="VI142" s="26"/>
      <c r="VJ142" s="26"/>
      <c r="VK142" s="26"/>
      <c r="VL142" s="26"/>
      <c r="VM142" s="26"/>
      <c r="VN142" s="26"/>
      <c r="VO142" s="26"/>
      <c r="VP142" s="26"/>
      <c r="VQ142" s="26"/>
      <c r="VR142" s="26"/>
      <c r="VS142" s="26"/>
      <c r="VT142" s="26"/>
      <c r="VU142" s="26"/>
      <c r="VV142" s="26"/>
      <c r="VW142" s="26"/>
      <c r="VX142" s="26"/>
      <c r="VY142" s="26"/>
      <c r="VZ142" s="26"/>
      <c r="WA142" s="26"/>
      <c r="WB142" s="26"/>
      <c r="WC142" s="26"/>
      <c r="WD142" s="26"/>
      <c r="WE142" s="26"/>
      <c r="WF142" s="26"/>
      <c r="WG142" s="26"/>
      <c r="WH142" s="26"/>
      <c r="WI142" s="26"/>
      <c r="WJ142" s="26"/>
      <c r="WK142" s="26"/>
      <c r="WL142" s="26"/>
      <c r="WM142" s="26"/>
      <c r="WN142" s="26"/>
      <c r="WO142" s="26"/>
      <c r="WP142" s="26"/>
      <c r="WQ142" s="26"/>
      <c r="WR142" s="26"/>
      <c r="WS142" s="26"/>
      <c r="WT142" s="26"/>
      <c r="WU142" s="26"/>
      <c r="WV142" s="26"/>
      <c r="WW142" s="26"/>
      <c r="WX142" s="26"/>
      <c r="WY142" s="26"/>
      <c r="WZ142" s="26"/>
      <c r="XA142" s="26"/>
      <c r="XB142" s="26"/>
      <c r="XC142" s="26"/>
      <c r="XD142" s="26"/>
      <c r="XE142" s="26"/>
      <c r="XF142" s="26"/>
      <c r="XG142" s="26"/>
      <c r="XH142" s="26"/>
      <c r="XI142" s="26"/>
      <c r="XJ142" s="26"/>
      <c r="XK142" s="26"/>
      <c r="XL142" s="26"/>
      <c r="XM142" s="26"/>
      <c r="XN142" s="26"/>
      <c r="XO142" s="26"/>
      <c r="XP142" s="26"/>
      <c r="XQ142" s="26"/>
      <c r="XR142" s="26"/>
      <c r="XS142" s="26"/>
      <c r="XT142" s="26"/>
      <c r="XU142" s="26"/>
      <c r="XV142" s="26"/>
      <c r="XW142" s="26"/>
      <c r="XX142" s="26"/>
      <c r="XY142" s="26"/>
      <c r="XZ142" s="26"/>
      <c r="YA142" s="26"/>
      <c r="YB142" s="26"/>
      <c r="YC142" s="26"/>
      <c r="YD142" s="26"/>
      <c r="YE142" s="26"/>
      <c r="YF142" s="26"/>
      <c r="YG142" s="26"/>
      <c r="YH142" s="26"/>
      <c r="YI142" s="26"/>
      <c r="YJ142" s="26"/>
      <c r="YK142" s="26"/>
      <c r="YL142" s="26"/>
      <c r="YM142" s="26"/>
      <c r="YN142" s="26"/>
      <c r="YO142" s="26"/>
      <c r="YP142" s="26"/>
      <c r="YQ142" s="26"/>
      <c r="YR142" s="26"/>
      <c r="YS142" s="26"/>
      <c r="YT142" s="26"/>
      <c r="YU142" s="26"/>
      <c r="YV142" s="26"/>
      <c r="YW142" s="26"/>
      <c r="YX142" s="26"/>
      <c r="YY142" s="26"/>
      <c r="YZ142" s="26"/>
      <c r="ZA142" s="26"/>
      <c r="ZB142" s="26"/>
      <c r="ZC142" s="26"/>
      <c r="ZD142" s="26"/>
      <c r="ZE142" s="26"/>
      <c r="ZF142" s="26"/>
      <c r="ZG142" s="26"/>
      <c r="ZH142" s="26"/>
      <c r="ZI142" s="26"/>
      <c r="ZJ142" s="26"/>
      <c r="ZK142" s="26"/>
      <c r="ZL142" s="26"/>
      <c r="ZM142" s="26"/>
      <c r="ZN142" s="26"/>
      <c r="ZO142" s="26"/>
      <c r="ZP142" s="26"/>
      <c r="ZQ142" s="26"/>
      <c r="ZR142" s="26"/>
      <c r="ZS142" s="26"/>
      <c r="ZT142" s="26"/>
      <c r="ZU142" s="26"/>
      <c r="ZV142" s="26"/>
      <c r="ZW142" s="26"/>
      <c r="ZX142" s="26"/>
      <c r="ZY142" s="26"/>
      <c r="ZZ142" s="26"/>
      <c r="AAA142" s="26"/>
      <c r="AAB142" s="26"/>
      <c r="AAC142" s="26"/>
      <c r="AAD142" s="26"/>
      <c r="AAE142" s="26"/>
      <c r="AAF142" s="26"/>
      <c r="AAG142" s="26"/>
      <c r="AAH142" s="26"/>
      <c r="AAI142" s="26"/>
      <c r="AAJ142" s="26"/>
      <c r="AAK142" s="26"/>
      <c r="AAL142" s="26"/>
      <c r="AAM142" s="26"/>
      <c r="AAN142" s="26"/>
      <c r="AAO142" s="26"/>
      <c r="AAP142" s="26"/>
      <c r="AAQ142" s="26"/>
      <c r="AAR142" s="26"/>
      <c r="AAS142" s="26"/>
      <c r="AAT142" s="26"/>
      <c r="AAU142" s="26"/>
      <c r="AAV142" s="26"/>
      <c r="AAW142" s="26"/>
      <c r="AAX142" s="26"/>
      <c r="AAY142" s="26"/>
      <c r="AAZ142" s="26"/>
      <c r="ABA142" s="26"/>
      <c r="ABB142" s="26"/>
      <c r="ABC142" s="26"/>
      <c r="ABD142" s="26"/>
      <c r="ABE142" s="26"/>
      <c r="ABF142" s="26"/>
      <c r="ABG142" s="26"/>
      <c r="ABH142" s="26"/>
      <c r="ABI142" s="26"/>
      <c r="ABJ142" s="26"/>
      <c r="ABK142" s="26"/>
      <c r="ABL142" s="26"/>
      <c r="ABM142" s="26"/>
      <c r="ABN142" s="26"/>
      <c r="ABO142" s="26"/>
      <c r="ABP142" s="26"/>
      <c r="ABQ142" s="26"/>
      <c r="ABR142" s="26"/>
      <c r="ABS142" s="26"/>
      <c r="ABT142" s="26"/>
      <c r="ABU142" s="26"/>
      <c r="ABV142" s="26"/>
      <c r="ABW142" s="26"/>
      <c r="ABX142" s="26"/>
      <c r="ABY142" s="26"/>
      <c r="ABZ142" s="26"/>
      <c r="ACA142" s="26"/>
      <c r="ACB142" s="26"/>
      <c r="ACC142" s="26"/>
      <c r="ACD142" s="26"/>
      <c r="ACE142" s="26"/>
      <c r="ACF142" s="26"/>
      <c r="ACG142" s="26"/>
      <c r="ACH142" s="26"/>
      <c r="ACI142" s="26"/>
      <c r="ACJ142" s="26"/>
      <c r="ACK142" s="26"/>
      <c r="ACL142" s="26"/>
      <c r="ACM142" s="26"/>
      <c r="ACN142" s="26"/>
      <c r="ACO142" s="26"/>
      <c r="ACP142" s="26"/>
      <c r="ACQ142" s="26"/>
      <c r="ACR142" s="26"/>
      <c r="ACS142" s="26"/>
      <c r="ACT142" s="26"/>
      <c r="ACU142" s="26"/>
      <c r="ACV142" s="26"/>
      <c r="ACW142" s="26"/>
      <c r="ACX142" s="26"/>
      <c r="ACY142" s="26"/>
      <c r="ACZ142" s="26"/>
      <c r="ADA142" s="26"/>
      <c r="ADB142" s="26"/>
      <c r="ADC142" s="26"/>
      <c r="ADD142" s="26"/>
      <c r="ADE142" s="26"/>
      <c r="ADF142" s="26"/>
      <c r="ADG142" s="26"/>
      <c r="ADH142" s="26"/>
      <c r="ADI142" s="26"/>
      <c r="ADJ142" s="26"/>
      <c r="ADK142" s="26"/>
      <c r="ADL142" s="26"/>
      <c r="ADM142" s="26"/>
      <c r="ADN142" s="26"/>
      <c r="ADO142" s="26"/>
      <c r="ADP142" s="26"/>
      <c r="ADQ142" s="26"/>
      <c r="ADR142" s="26"/>
      <c r="ADS142" s="26"/>
      <c r="ADT142" s="26"/>
      <c r="ADU142" s="26"/>
      <c r="ADV142" s="26"/>
      <c r="ADW142" s="26"/>
      <c r="ADX142" s="26"/>
      <c r="ADY142" s="26"/>
      <c r="ADZ142" s="26"/>
      <c r="AEA142" s="26"/>
      <c r="AEB142" s="26"/>
      <c r="AEC142" s="26"/>
      <c r="AED142" s="26"/>
      <c r="AEE142" s="26"/>
      <c r="AEF142" s="26"/>
      <c r="AEG142" s="26"/>
      <c r="AEH142" s="26"/>
      <c r="AEI142" s="26"/>
      <c r="AEJ142" s="26"/>
      <c r="AEK142" s="26"/>
      <c r="AEL142" s="26"/>
      <c r="AEM142" s="26"/>
      <c r="AEN142" s="26"/>
      <c r="AEO142" s="26"/>
      <c r="AEP142" s="26"/>
      <c r="AEQ142" s="26"/>
      <c r="AER142" s="26"/>
      <c r="AES142" s="26"/>
      <c r="AET142" s="26"/>
      <c r="AEU142" s="26"/>
      <c r="AEV142" s="26"/>
      <c r="AEW142" s="26"/>
      <c r="AEX142" s="26"/>
      <c r="AEY142" s="26"/>
      <c r="AEZ142" s="26"/>
      <c r="AFA142" s="26"/>
      <c r="AFB142" s="26"/>
      <c r="AFC142" s="26"/>
      <c r="AFD142" s="26"/>
      <c r="AFE142" s="26"/>
      <c r="AFF142" s="26"/>
      <c r="AFG142" s="26"/>
      <c r="AFH142" s="26"/>
      <c r="AFI142" s="26"/>
      <c r="AFJ142" s="26"/>
      <c r="AFK142" s="26"/>
      <c r="AFL142" s="26"/>
      <c r="AFM142" s="26"/>
      <c r="AFN142" s="26"/>
      <c r="AFO142" s="26"/>
      <c r="AFP142" s="26"/>
      <c r="AFQ142" s="26"/>
      <c r="AFR142" s="26"/>
      <c r="AFS142" s="26"/>
      <c r="AFT142" s="26"/>
      <c r="AFU142" s="26"/>
      <c r="AFV142" s="26"/>
      <c r="AFW142" s="26"/>
      <c r="AFX142" s="26"/>
      <c r="AFY142" s="26"/>
      <c r="AFZ142" s="26"/>
      <c r="AGA142" s="26"/>
      <c r="AGB142" s="26"/>
      <c r="AGC142" s="26"/>
      <c r="AGD142" s="26"/>
      <c r="AGE142" s="26"/>
      <c r="AGF142" s="26"/>
      <c r="AGG142" s="26"/>
      <c r="AGH142" s="26"/>
      <c r="AGI142" s="26"/>
      <c r="AGJ142" s="26"/>
      <c r="AGK142" s="26"/>
      <c r="AGL142" s="26"/>
      <c r="AGM142" s="26"/>
      <c r="AGN142" s="26"/>
      <c r="AGO142" s="26"/>
      <c r="AGP142" s="26"/>
      <c r="AGQ142" s="26"/>
      <c r="AGR142" s="26"/>
      <c r="AGS142" s="26"/>
      <c r="AGT142" s="26"/>
      <c r="AGU142" s="26"/>
      <c r="AGV142" s="26"/>
      <c r="AGW142" s="26"/>
      <c r="AGX142" s="26"/>
      <c r="AGY142" s="26"/>
      <c r="AGZ142" s="26"/>
      <c r="AHA142" s="26"/>
      <c r="AHB142" s="26"/>
      <c r="AHC142" s="26"/>
      <c r="AHD142" s="26"/>
      <c r="AHE142" s="26"/>
      <c r="AHF142" s="26"/>
      <c r="AHG142" s="26"/>
      <c r="AHH142" s="26"/>
      <c r="AHI142" s="26"/>
      <c r="AHJ142" s="26"/>
      <c r="AHK142" s="26"/>
      <c r="AHL142" s="26"/>
      <c r="AHM142" s="26"/>
      <c r="AHN142" s="26"/>
      <c r="AHO142" s="26"/>
      <c r="AHP142" s="26"/>
      <c r="AHQ142" s="26"/>
      <c r="AHR142" s="26"/>
      <c r="AHS142" s="26"/>
      <c r="AHT142" s="26"/>
      <c r="AHU142" s="26"/>
      <c r="AHV142" s="26"/>
      <c r="AHW142" s="26"/>
      <c r="AHX142" s="26"/>
      <c r="AHY142" s="26"/>
      <c r="AHZ142" s="26"/>
      <c r="AIA142" s="26"/>
      <c r="AIB142" s="26"/>
      <c r="AIC142" s="26"/>
      <c r="AID142" s="26"/>
      <c r="AIE142" s="26"/>
      <c r="AIF142" s="26"/>
      <c r="AIG142" s="26"/>
      <c r="AIH142" s="26"/>
      <c r="AII142" s="26"/>
      <c r="AIJ142" s="26"/>
      <c r="AIK142" s="26"/>
      <c r="AIL142" s="26"/>
      <c r="AIM142" s="26"/>
      <c r="AIN142" s="26"/>
      <c r="AIO142" s="26"/>
      <c r="AIP142" s="26"/>
      <c r="AIQ142" s="26"/>
      <c r="AIR142" s="26"/>
      <c r="AIS142" s="26"/>
      <c r="AIT142" s="26"/>
      <c r="AIU142" s="26"/>
      <c r="AIV142" s="26"/>
      <c r="AIW142" s="26"/>
      <c r="AIX142" s="26"/>
      <c r="AIY142" s="26"/>
      <c r="AIZ142" s="26"/>
      <c r="AJA142" s="26"/>
      <c r="AJB142" s="26"/>
      <c r="AJC142" s="26"/>
      <c r="AJD142" s="26"/>
      <c r="AJE142" s="26"/>
      <c r="AJF142" s="26"/>
      <c r="AJG142" s="26"/>
      <c r="AJH142" s="26"/>
      <c r="AJI142" s="26"/>
      <c r="AJJ142" s="26"/>
      <c r="AJK142" s="26"/>
      <c r="AJL142" s="26"/>
      <c r="AJM142" s="26"/>
      <c r="AJN142" s="26"/>
      <c r="AJO142" s="26"/>
      <c r="AJP142" s="26"/>
      <c r="AJQ142" s="26"/>
      <c r="AJR142" s="26"/>
      <c r="AJS142" s="26"/>
      <c r="AJT142" s="26"/>
      <c r="AJU142" s="26"/>
      <c r="AJV142" s="26"/>
      <c r="AJW142" s="26"/>
      <c r="AJX142" s="26"/>
      <c r="AJY142" s="26"/>
      <c r="AJZ142" s="26"/>
      <c r="AKA142" s="26"/>
      <c r="AKB142" s="26"/>
      <c r="AKC142" s="26"/>
      <c r="AKD142" s="26"/>
      <c r="AKE142" s="26"/>
      <c r="AKF142" s="26"/>
      <c r="AKG142" s="26"/>
      <c r="AKH142" s="26"/>
      <c r="AKI142" s="26"/>
      <c r="AKJ142" s="26"/>
      <c r="AKK142" s="26"/>
      <c r="AKL142" s="26"/>
      <c r="AKM142" s="26"/>
      <c r="AKN142" s="26"/>
      <c r="AKO142" s="26"/>
      <c r="AKP142" s="26"/>
      <c r="AKQ142" s="26"/>
      <c r="AKR142" s="26"/>
      <c r="AKS142" s="26"/>
      <c r="AKT142" s="26"/>
      <c r="AKU142" s="26"/>
      <c r="AKV142" s="26"/>
      <c r="AKW142" s="26"/>
      <c r="AKX142" s="26"/>
      <c r="AKY142" s="26"/>
      <c r="AKZ142" s="26"/>
      <c r="ALA142" s="26"/>
      <c r="ALB142" s="26"/>
      <c r="ALC142" s="26"/>
      <c r="ALD142" s="26"/>
      <c r="ALE142" s="26"/>
      <c r="ALF142" s="26"/>
      <c r="ALG142" s="26"/>
      <c r="ALH142" s="26"/>
      <c r="ALI142" s="26"/>
      <c r="ALJ142" s="26"/>
      <c r="ALK142" s="26"/>
      <c r="ALL142" s="26"/>
      <c r="ALM142" s="26"/>
      <c r="ALN142" s="26"/>
      <c r="ALO142" s="26"/>
      <c r="ALP142" s="26"/>
      <c r="ALQ142" s="26"/>
      <c r="ALR142" s="26"/>
      <c r="ALS142" s="26"/>
      <c r="ALT142" s="26"/>
      <c r="ALU142" s="26"/>
      <c r="ALV142" s="26"/>
      <c r="ALW142" s="26"/>
      <c r="ALX142" s="26"/>
      <c r="ALY142" s="26"/>
      <c r="ALZ142" s="26"/>
      <c r="AMA142" s="26"/>
      <c r="AMB142" s="26"/>
      <c r="AMC142" s="26"/>
      <c r="AMD142" s="26"/>
      <c r="AME142" s="26"/>
      <c r="AMF142" s="26"/>
      <c r="AMG142" s="26"/>
      <c r="AMH142" s="26"/>
      <c r="AMI142" s="26"/>
      <c r="AMJ142" s="26"/>
    </row>
    <row r="143" spans="1:1024" s="28" customFormat="1" ht="25.5">
      <c r="A143" s="84" t="s">
        <v>55</v>
      </c>
      <c r="B143" s="158" t="s">
        <v>571</v>
      </c>
      <c r="C143" s="61" t="s">
        <v>12</v>
      </c>
      <c r="D143" s="24" t="s">
        <v>572</v>
      </c>
      <c r="E143" s="82" t="s">
        <v>118</v>
      </c>
      <c r="F143" s="35">
        <f>'MEMÓRIA DE CÁLCULO'!H923</f>
        <v>15</v>
      </c>
      <c r="G143" s="66">
        <v>209.47</v>
      </c>
      <c r="H143" s="36">
        <f t="shared" ref="H143:H145" si="59">ROUND((G143*$I$10)+G143,2)</f>
        <v>256.04000000000002</v>
      </c>
      <c r="I143" s="71">
        <f t="shared" ref="I143:I145" si="60">ROUND(F143*H143,2)</f>
        <v>3840.6</v>
      </c>
      <c r="J143" s="26"/>
      <c r="K143" s="26"/>
      <c r="L143" s="26"/>
      <c r="M143" s="10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c r="IU143" s="26"/>
      <c r="IV143" s="26"/>
      <c r="IW143" s="26"/>
      <c r="IX143" s="26"/>
      <c r="IY143" s="26"/>
      <c r="IZ143" s="26"/>
      <c r="JA143" s="26"/>
      <c r="JB143" s="26"/>
      <c r="JC143" s="26"/>
      <c r="JD143" s="26"/>
      <c r="JE143" s="26"/>
      <c r="JF143" s="26"/>
      <c r="JG143" s="26"/>
      <c r="JH143" s="26"/>
      <c r="JI143" s="26"/>
      <c r="JJ143" s="26"/>
      <c r="JK143" s="26"/>
      <c r="JL143" s="26"/>
      <c r="JM143" s="26"/>
      <c r="JN143" s="26"/>
      <c r="JO143" s="26"/>
      <c r="JP143" s="26"/>
      <c r="JQ143" s="26"/>
      <c r="JR143" s="26"/>
      <c r="JS143" s="26"/>
      <c r="JT143" s="26"/>
      <c r="JU143" s="26"/>
      <c r="JV143" s="26"/>
      <c r="JW143" s="26"/>
      <c r="JX143" s="26"/>
      <c r="JY143" s="26"/>
      <c r="JZ143" s="26"/>
      <c r="KA143" s="26"/>
      <c r="KB143" s="26"/>
      <c r="KC143" s="26"/>
      <c r="KD143" s="26"/>
      <c r="KE143" s="26"/>
      <c r="KF143" s="26"/>
      <c r="KG143" s="26"/>
      <c r="KH143" s="26"/>
      <c r="KI143" s="26"/>
      <c r="KJ143" s="26"/>
      <c r="KK143" s="26"/>
      <c r="KL143" s="26"/>
      <c r="KM143" s="26"/>
      <c r="KN143" s="26"/>
      <c r="KO143" s="26"/>
      <c r="KP143" s="26"/>
      <c r="KQ143" s="26"/>
      <c r="KR143" s="26"/>
      <c r="KS143" s="26"/>
      <c r="KT143" s="26"/>
      <c r="KU143" s="26"/>
      <c r="KV143" s="26"/>
      <c r="KW143" s="26"/>
      <c r="KX143" s="26"/>
      <c r="KY143" s="26"/>
      <c r="KZ143" s="26"/>
      <c r="LA143" s="26"/>
      <c r="LB143" s="26"/>
      <c r="LC143" s="26"/>
      <c r="LD143" s="26"/>
      <c r="LE143" s="26"/>
      <c r="LF143" s="26"/>
      <c r="LG143" s="26"/>
      <c r="LH143" s="26"/>
      <c r="LI143" s="26"/>
      <c r="LJ143" s="26"/>
      <c r="LK143" s="26"/>
      <c r="LL143" s="26"/>
      <c r="LM143" s="26"/>
      <c r="LN143" s="26"/>
      <c r="LO143" s="26"/>
      <c r="LP143" s="26"/>
      <c r="LQ143" s="26"/>
      <c r="LR143" s="26"/>
      <c r="LS143" s="26"/>
      <c r="LT143" s="26"/>
      <c r="LU143" s="26"/>
      <c r="LV143" s="26"/>
      <c r="LW143" s="26"/>
      <c r="LX143" s="26"/>
      <c r="LY143" s="26"/>
      <c r="LZ143" s="26"/>
      <c r="MA143" s="26"/>
      <c r="MB143" s="26"/>
      <c r="MC143" s="26"/>
      <c r="MD143" s="26"/>
      <c r="ME143" s="26"/>
      <c r="MF143" s="26"/>
      <c r="MG143" s="26"/>
      <c r="MH143" s="26"/>
      <c r="MI143" s="26"/>
      <c r="MJ143" s="26"/>
      <c r="MK143" s="26"/>
      <c r="ML143" s="26"/>
      <c r="MM143" s="26"/>
      <c r="MN143" s="26"/>
      <c r="MO143" s="26"/>
      <c r="MP143" s="26"/>
      <c r="MQ143" s="26"/>
      <c r="MR143" s="26"/>
      <c r="MS143" s="26"/>
      <c r="MT143" s="26"/>
      <c r="MU143" s="26"/>
      <c r="MV143" s="26"/>
      <c r="MW143" s="26"/>
      <c r="MX143" s="26"/>
      <c r="MY143" s="26"/>
      <c r="MZ143" s="26"/>
      <c r="NA143" s="26"/>
      <c r="NB143" s="26"/>
      <c r="NC143" s="26"/>
      <c r="ND143" s="26"/>
      <c r="NE143" s="26"/>
      <c r="NF143" s="26"/>
      <c r="NG143" s="26"/>
      <c r="NH143" s="26"/>
      <c r="NI143" s="26"/>
      <c r="NJ143" s="26"/>
      <c r="NK143" s="26"/>
      <c r="NL143" s="26"/>
      <c r="NM143" s="26"/>
      <c r="NN143" s="26"/>
      <c r="NO143" s="26"/>
      <c r="NP143" s="26"/>
      <c r="NQ143" s="26"/>
      <c r="NR143" s="26"/>
      <c r="NS143" s="26"/>
      <c r="NT143" s="26"/>
      <c r="NU143" s="26"/>
      <c r="NV143" s="26"/>
      <c r="NW143" s="26"/>
      <c r="NX143" s="26"/>
      <c r="NY143" s="26"/>
      <c r="NZ143" s="26"/>
      <c r="OA143" s="26"/>
      <c r="OB143" s="26"/>
      <c r="OC143" s="26"/>
      <c r="OD143" s="26"/>
      <c r="OE143" s="26"/>
      <c r="OF143" s="26"/>
      <c r="OG143" s="26"/>
      <c r="OH143" s="26"/>
      <c r="OI143" s="26"/>
      <c r="OJ143" s="26"/>
      <c r="OK143" s="26"/>
      <c r="OL143" s="26"/>
      <c r="OM143" s="26"/>
      <c r="ON143" s="26"/>
      <c r="OO143" s="26"/>
      <c r="OP143" s="26"/>
      <c r="OQ143" s="26"/>
      <c r="OR143" s="26"/>
      <c r="OS143" s="26"/>
      <c r="OT143" s="26"/>
      <c r="OU143" s="26"/>
      <c r="OV143" s="26"/>
      <c r="OW143" s="26"/>
      <c r="OX143" s="26"/>
      <c r="OY143" s="26"/>
      <c r="OZ143" s="26"/>
      <c r="PA143" s="26"/>
      <c r="PB143" s="26"/>
      <c r="PC143" s="26"/>
      <c r="PD143" s="26"/>
      <c r="PE143" s="26"/>
      <c r="PF143" s="26"/>
      <c r="PG143" s="26"/>
      <c r="PH143" s="26"/>
      <c r="PI143" s="26"/>
      <c r="PJ143" s="26"/>
      <c r="PK143" s="26"/>
      <c r="PL143" s="26"/>
      <c r="PM143" s="26"/>
      <c r="PN143" s="26"/>
      <c r="PO143" s="26"/>
      <c r="PP143" s="26"/>
      <c r="PQ143" s="26"/>
      <c r="PR143" s="26"/>
      <c r="PS143" s="26"/>
      <c r="PT143" s="26"/>
      <c r="PU143" s="26"/>
      <c r="PV143" s="26"/>
      <c r="PW143" s="26"/>
      <c r="PX143" s="26"/>
      <c r="PY143" s="26"/>
      <c r="PZ143" s="26"/>
      <c r="QA143" s="26"/>
      <c r="QB143" s="26"/>
      <c r="QC143" s="26"/>
      <c r="QD143" s="26"/>
      <c r="QE143" s="26"/>
      <c r="QF143" s="26"/>
      <c r="QG143" s="26"/>
      <c r="QH143" s="26"/>
      <c r="QI143" s="26"/>
      <c r="QJ143" s="26"/>
      <c r="QK143" s="26"/>
      <c r="QL143" s="26"/>
      <c r="QM143" s="26"/>
      <c r="QN143" s="26"/>
      <c r="QO143" s="26"/>
      <c r="QP143" s="26"/>
      <c r="QQ143" s="26"/>
      <c r="QR143" s="26"/>
      <c r="QS143" s="26"/>
      <c r="QT143" s="26"/>
      <c r="QU143" s="26"/>
      <c r="QV143" s="26"/>
      <c r="QW143" s="26"/>
      <c r="QX143" s="26"/>
      <c r="QY143" s="26"/>
      <c r="QZ143" s="26"/>
      <c r="RA143" s="26"/>
      <c r="RB143" s="26"/>
      <c r="RC143" s="26"/>
      <c r="RD143" s="26"/>
      <c r="RE143" s="26"/>
      <c r="RF143" s="26"/>
      <c r="RG143" s="26"/>
      <c r="RH143" s="26"/>
      <c r="RI143" s="26"/>
      <c r="RJ143" s="26"/>
      <c r="RK143" s="26"/>
      <c r="RL143" s="26"/>
      <c r="RM143" s="26"/>
      <c r="RN143" s="26"/>
      <c r="RO143" s="26"/>
      <c r="RP143" s="26"/>
      <c r="RQ143" s="26"/>
      <c r="RR143" s="26"/>
      <c r="RS143" s="26"/>
      <c r="RT143" s="26"/>
      <c r="RU143" s="26"/>
      <c r="RV143" s="26"/>
      <c r="RW143" s="26"/>
      <c r="RX143" s="26"/>
      <c r="RY143" s="26"/>
      <c r="RZ143" s="26"/>
      <c r="SA143" s="26"/>
      <c r="SB143" s="26"/>
      <c r="SC143" s="26"/>
      <c r="SD143" s="26"/>
      <c r="SE143" s="26"/>
      <c r="SF143" s="26"/>
      <c r="SG143" s="26"/>
      <c r="SH143" s="26"/>
      <c r="SI143" s="26"/>
      <c r="SJ143" s="26"/>
      <c r="SK143" s="26"/>
      <c r="SL143" s="26"/>
      <c r="SM143" s="26"/>
      <c r="SN143" s="26"/>
      <c r="SO143" s="26"/>
      <c r="SP143" s="26"/>
      <c r="SQ143" s="26"/>
      <c r="SR143" s="26"/>
      <c r="SS143" s="26"/>
      <c r="ST143" s="26"/>
      <c r="SU143" s="26"/>
      <c r="SV143" s="26"/>
      <c r="SW143" s="26"/>
      <c r="SX143" s="26"/>
      <c r="SY143" s="26"/>
      <c r="SZ143" s="26"/>
      <c r="TA143" s="26"/>
      <c r="TB143" s="26"/>
      <c r="TC143" s="26"/>
      <c r="TD143" s="26"/>
      <c r="TE143" s="26"/>
      <c r="TF143" s="26"/>
      <c r="TG143" s="26"/>
      <c r="TH143" s="26"/>
      <c r="TI143" s="26"/>
      <c r="TJ143" s="26"/>
      <c r="TK143" s="26"/>
      <c r="TL143" s="26"/>
      <c r="TM143" s="26"/>
      <c r="TN143" s="26"/>
      <c r="TO143" s="26"/>
      <c r="TP143" s="26"/>
      <c r="TQ143" s="26"/>
      <c r="TR143" s="26"/>
      <c r="TS143" s="26"/>
      <c r="TT143" s="26"/>
      <c r="TU143" s="26"/>
      <c r="TV143" s="26"/>
      <c r="TW143" s="26"/>
      <c r="TX143" s="26"/>
      <c r="TY143" s="26"/>
      <c r="TZ143" s="26"/>
      <c r="UA143" s="26"/>
      <c r="UB143" s="26"/>
      <c r="UC143" s="26"/>
      <c r="UD143" s="26"/>
      <c r="UE143" s="26"/>
      <c r="UF143" s="26"/>
      <c r="UG143" s="26"/>
      <c r="UH143" s="26"/>
      <c r="UI143" s="26"/>
      <c r="UJ143" s="26"/>
      <c r="UK143" s="26"/>
      <c r="UL143" s="26"/>
      <c r="UM143" s="26"/>
      <c r="UN143" s="26"/>
      <c r="UO143" s="26"/>
      <c r="UP143" s="26"/>
      <c r="UQ143" s="26"/>
      <c r="UR143" s="26"/>
      <c r="US143" s="26"/>
      <c r="UT143" s="26"/>
      <c r="UU143" s="26"/>
      <c r="UV143" s="26"/>
      <c r="UW143" s="26"/>
      <c r="UX143" s="26"/>
      <c r="UY143" s="26"/>
      <c r="UZ143" s="26"/>
      <c r="VA143" s="26"/>
      <c r="VB143" s="26"/>
      <c r="VC143" s="26"/>
      <c r="VD143" s="26"/>
      <c r="VE143" s="26"/>
      <c r="VF143" s="26"/>
      <c r="VG143" s="26"/>
      <c r="VH143" s="26"/>
      <c r="VI143" s="26"/>
      <c r="VJ143" s="26"/>
      <c r="VK143" s="26"/>
      <c r="VL143" s="26"/>
      <c r="VM143" s="26"/>
      <c r="VN143" s="26"/>
      <c r="VO143" s="26"/>
      <c r="VP143" s="26"/>
      <c r="VQ143" s="26"/>
      <c r="VR143" s="26"/>
      <c r="VS143" s="26"/>
      <c r="VT143" s="26"/>
      <c r="VU143" s="26"/>
      <c r="VV143" s="26"/>
      <c r="VW143" s="26"/>
      <c r="VX143" s="26"/>
      <c r="VY143" s="26"/>
      <c r="VZ143" s="26"/>
      <c r="WA143" s="26"/>
      <c r="WB143" s="26"/>
      <c r="WC143" s="26"/>
      <c r="WD143" s="26"/>
      <c r="WE143" s="26"/>
      <c r="WF143" s="26"/>
      <c r="WG143" s="26"/>
      <c r="WH143" s="26"/>
      <c r="WI143" s="26"/>
      <c r="WJ143" s="26"/>
      <c r="WK143" s="26"/>
      <c r="WL143" s="26"/>
      <c r="WM143" s="26"/>
      <c r="WN143" s="26"/>
      <c r="WO143" s="26"/>
      <c r="WP143" s="26"/>
      <c r="WQ143" s="26"/>
      <c r="WR143" s="26"/>
      <c r="WS143" s="26"/>
      <c r="WT143" s="26"/>
      <c r="WU143" s="26"/>
      <c r="WV143" s="26"/>
      <c r="WW143" s="26"/>
      <c r="WX143" s="26"/>
      <c r="WY143" s="26"/>
      <c r="WZ143" s="26"/>
      <c r="XA143" s="26"/>
      <c r="XB143" s="26"/>
      <c r="XC143" s="26"/>
      <c r="XD143" s="26"/>
      <c r="XE143" s="26"/>
      <c r="XF143" s="26"/>
      <c r="XG143" s="26"/>
      <c r="XH143" s="26"/>
      <c r="XI143" s="26"/>
      <c r="XJ143" s="26"/>
      <c r="XK143" s="26"/>
      <c r="XL143" s="26"/>
      <c r="XM143" s="26"/>
      <c r="XN143" s="26"/>
      <c r="XO143" s="26"/>
      <c r="XP143" s="26"/>
      <c r="XQ143" s="26"/>
      <c r="XR143" s="26"/>
      <c r="XS143" s="26"/>
      <c r="XT143" s="26"/>
      <c r="XU143" s="26"/>
      <c r="XV143" s="26"/>
      <c r="XW143" s="26"/>
      <c r="XX143" s="26"/>
      <c r="XY143" s="26"/>
      <c r="XZ143" s="26"/>
      <c r="YA143" s="26"/>
      <c r="YB143" s="26"/>
      <c r="YC143" s="26"/>
      <c r="YD143" s="26"/>
      <c r="YE143" s="26"/>
      <c r="YF143" s="26"/>
      <c r="YG143" s="26"/>
      <c r="YH143" s="26"/>
      <c r="YI143" s="26"/>
      <c r="YJ143" s="26"/>
      <c r="YK143" s="26"/>
      <c r="YL143" s="26"/>
      <c r="YM143" s="26"/>
      <c r="YN143" s="26"/>
      <c r="YO143" s="26"/>
      <c r="YP143" s="26"/>
      <c r="YQ143" s="26"/>
      <c r="YR143" s="26"/>
      <c r="YS143" s="26"/>
      <c r="YT143" s="26"/>
      <c r="YU143" s="26"/>
      <c r="YV143" s="26"/>
      <c r="YW143" s="26"/>
      <c r="YX143" s="26"/>
      <c r="YY143" s="26"/>
      <c r="YZ143" s="26"/>
      <c r="ZA143" s="26"/>
      <c r="ZB143" s="26"/>
      <c r="ZC143" s="26"/>
      <c r="ZD143" s="26"/>
      <c r="ZE143" s="26"/>
      <c r="ZF143" s="26"/>
      <c r="ZG143" s="26"/>
      <c r="ZH143" s="26"/>
      <c r="ZI143" s="26"/>
      <c r="ZJ143" s="26"/>
      <c r="ZK143" s="26"/>
      <c r="ZL143" s="26"/>
      <c r="ZM143" s="26"/>
      <c r="ZN143" s="26"/>
      <c r="ZO143" s="26"/>
      <c r="ZP143" s="26"/>
      <c r="ZQ143" s="26"/>
      <c r="ZR143" s="26"/>
      <c r="ZS143" s="26"/>
      <c r="ZT143" s="26"/>
      <c r="ZU143" s="26"/>
      <c r="ZV143" s="26"/>
      <c r="ZW143" s="26"/>
      <c r="ZX143" s="26"/>
      <c r="ZY143" s="26"/>
      <c r="ZZ143" s="26"/>
      <c r="AAA143" s="26"/>
      <c r="AAB143" s="26"/>
      <c r="AAC143" s="26"/>
      <c r="AAD143" s="26"/>
      <c r="AAE143" s="26"/>
      <c r="AAF143" s="26"/>
      <c r="AAG143" s="26"/>
      <c r="AAH143" s="26"/>
      <c r="AAI143" s="26"/>
      <c r="AAJ143" s="26"/>
      <c r="AAK143" s="26"/>
      <c r="AAL143" s="26"/>
      <c r="AAM143" s="26"/>
      <c r="AAN143" s="26"/>
      <c r="AAO143" s="26"/>
      <c r="AAP143" s="26"/>
      <c r="AAQ143" s="26"/>
      <c r="AAR143" s="26"/>
      <c r="AAS143" s="26"/>
      <c r="AAT143" s="26"/>
      <c r="AAU143" s="26"/>
      <c r="AAV143" s="26"/>
      <c r="AAW143" s="26"/>
      <c r="AAX143" s="26"/>
      <c r="AAY143" s="26"/>
      <c r="AAZ143" s="26"/>
      <c r="ABA143" s="26"/>
      <c r="ABB143" s="26"/>
      <c r="ABC143" s="26"/>
      <c r="ABD143" s="26"/>
      <c r="ABE143" s="26"/>
      <c r="ABF143" s="26"/>
      <c r="ABG143" s="26"/>
      <c r="ABH143" s="26"/>
      <c r="ABI143" s="26"/>
      <c r="ABJ143" s="26"/>
      <c r="ABK143" s="26"/>
      <c r="ABL143" s="26"/>
      <c r="ABM143" s="26"/>
      <c r="ABN143" s="26"/>
      <c r="ABO143" s="26"/>
      <c r="ABP143" s="26"/>
      <c r="ABQ143" s="26"/>
      <c r="ABR143" s="26"/>
      <c r="ABS143" s="26"/>
      <c r="ABT143" s="26"/>
      <c r="ABU143" s="26"/>
      <c r="ABV143" s="26"/>
      <c r="ABW143" s="26"/>
      <c r="ABX143" s="26"/>
      <c r="ABY143" s="26"/>
      <c r="ABZ143" s="26"/>
      <c r="ACA143" s="26"/>
      <c r="ACB143" s="26"/>
      <c r="ACC143" s="26"/>
      <c r="ACD143" s="26"/>
      <c r="ACE143" s="26"/>
      <c r="ACF143" s="26"/>
      <c r="ACG143" s="26"/>
      <c r="ACH143" s="26"/>
      <c r="ACI143" s="26"/>
      <c r="ACJ143" s="26"/>
      <c r="ACK143" s="26"/>
      <c r="ACL143" s="26"/>
      <c r="ACM143" s="26"/>
      <c r="ACN143" s="26"/>
      <c r="ACO143" s="26"/>
      <c r="ACP143" s="26"/>
      <c r="ACQ143" s="26"/>
      <c r="ACR143" s="26"/>
      <c r="ACS143" s="26"/>
      <c r="ACT143" s="26"/>
      <c r="ACU143" s="26"/>
      <c r="ACV143" s="26"/>
      <c r="ACW143" s="26"/>
      <c r="ACX143" s="26"/>
      <c r="ACY143" s="26"/>
      <c r="ACZ143" s="26"/>
      <c r="ADA143" s="26"/>
      <c r="ADB143" s="26"/>
      <c r="ADC143" s="26"/>
      <c r="ADD143" s="26"/>
      <c r="ADE143" s="26"/>
      <c r="ADF143" s="26"/>
      <c r="ADG143" s="26"/>
      <c r="ADH143" s="26"/>
      <c r="ADI143" s="26"/>
      <c r="ADJ143" s="26"/>
      <c r="ADK143" s="26"/>
      <c r="ADL143" s="26"/>
      <c r="ADM143" s="26"/>
      <c r="ADN143" s="26"/>
      <c r="ADO143" s="26"/>
      <c r="ADP143" s="26"/>
      <c r="ADQ143" s="26"/>
      <c r="ADR143" s="26"/>
      <c r="ADS143" s="26"/>
      <c r="ADT143" s="26"/>
      <c r="ADU143" s="26"/>
      <c r="ADV143" s="26"/>
      <c r="ADW143" s="26"/>
      <c r="ADX143" s="26"/>
      <c r="ADY143" s="26"/>
      <c r="ADZ143" s="26"/>
      <c r="AEA143" s="26"/>
      <c r="AEB143" s="26"/>
      <c r="AEC143" s="26"/>
      <c r="AED143" s="26"/>
      <c r="AEE143" s="26"/>
      <c r="AEF143" s="26"/>
      <c r="AEG143" s="26"/>
      <c r="AEH143" s="26"/>
      <c r="AEI143" s="26"/>
      <c r="AEJ143" s="26"/>
      <c r="AEK143" s="26"/>
      <c r="AEL143" s="26"/>
      <c r="AEM143" s="26"/>
      <c r="AEN143" s="26"/>
      <c r="AEO143" s="26"/>
      <c r="AEP143" s="26"/>
      <c r="AEQ143" s="26"/>
      <c r="AER143" s="26"/>
      <c r="AES143" s="26"/>
      <c r="AET143" s="26"/>
      <c r="AEU143" s="26"/>
      <c r="AEV143" s="26"/>
      <c r="AEW143" s="26"/>
      <c r="AEX143" s="26"/>
      <c r="AEY143" s="26"/>
      <c r="AEZ143" s="26"/>
      <c r="AFA143" s="26"/>
      <c r="AFB143" s="26"/>
      <c r="AFC143" s="26"/>
      <c r="AFD143" s="26"/>
      <c r="AFE143" s="26"/>
      <c r="AFF143" s="26"/>
      <c r="AFG143" s="26"/>
      <c r="AFH143" s="26"/>
      <c r="AFI143" s="26"/>
      <c r="AFJ143" s="26"/>
      <c r="AFK143" s="26"/>
      <c r="AFL143" s="26"/>
      <c r="AFM143" s="26"/>
      <c r="AFN143" s="26"/>
      <c r="AFO143" s="26"/>
      <c r="AFP143" s="26"/>
      <c r="AFQ143" s="26"/>
      <c r="AFR143" s="26"/>
      <c r="AFS143" s="26"/>
      <c r="AFT143" s="26"/>
      <c r="AFU143" s="26"/>
      <c r="AFV143" s="26"/>
      <c r="AFW143" s="26"/>
      <c r="AFX143" s="26"/>
      <c r="AFY143" s="26"/>
      <c r="AFZ143" s="26"/>
      <c r="AGA143" s="26"/>
      <c r="AGB143" s="26"/>
      <c r="AGC143" s="26"/>
      <c r="AGD143" s="26"/>
      <c r="AGE143" s="26"/>
      <c r="AGF143" s="26"/>
      <c r="AGG143" s="26"/>
      <c r="AGH143" s="26"/>
      <c r="AGI143" s="26"/>
      <c r="AGJ143" s="26"/>
      <c r="AGK143" s="26"/>
      <c r="AGL143" s="26"/>
      <c r="AGM143" s="26"/>
      <c r="AGN143" s="26"/>
      <c r="AGO143" s="26"/>
      <c r="AGP143" s="26"/>
      <c r="AGQ143" s="26"/>
      <c r="AGR143" s="26"/>
      <c r="AGS143" s="26"/>
      <c r="AGT143" s="26"/>
      <c r="AGU143" s="26"/>
      <c r="AGV143" s="26"/>
      <c r="AGW143" s="26"/>
      <c r="AGX143" s="26"/>
      <c r="AGY143" s="26"/>
      <c r="AGZ143" s="26"/>
      <c r="AHA143" s="26"/>
      <c r="AHB143" s="26"/>
      <c r="AHC143" s="26"/>
      <c r="AHD143" s="26"/>
      <c r="AHE143" s="26"/>
      <c r="AHF143" s="26"/>
      <c r="AHG143" s="26"/>
      <c r="AHH143" s="26"/>
      <c r="AHI143" s="26"/>
      <c r="AHJ143" s="26"/>
      <c r="AHK143" s="26"/>
      <c r="AHL143" s="26"/>
      <c r="AHM143" s="26"/>
      <c r="AHN143" s="26"/>
      <c r="AHO143" s="26"/>
      <c r="AHP143" s="26"/>
      <c r="AHQ143" s="26"/>
      <c r="AHR143" s="26"/>
      <c r="AHS143" s="26"/>
      <c r="AHT143" s="26"/>
      <c r="AHU143" s="26"/>
      <c r="AHV143" s="26"/>
      <c r="AHW143" s="26"/>
      <c r="AHX143" s="26"/>
      <c r="AHY143" s="26"/>
      <c r="AHZ143" s="26"/>
      <c r="AIA143" s="26"/>
      <c r="AIB143" s="26"/>
      <c r="AIC143" s="26"/>
      <c r="AID143" s="26"/>
      <c r="AIE143" s="26"/>
      <c r="AIF143" s="26"/>
      <c r="AIG143" s="26"/>
      <c r="AIH143" s="26"/>
      <c r="AII143" s="26"/>
      <c r="AIJ143" s="26"/>
      <c r="AIK143" s="26"/>
      <c r="AIL143" s="26"/>
      <c r="AIM143" s="26"/>
      <c r="AIN143" s="26"/>
      <c r="AIO143" s="26"/>
      <c r="AIP143" s="26"/>
      <c r="AIQ143" s="26"/>
      <c r="AIR143" s="26"/>
      <c r="AIS143" s="26"/>
      <c r="AIT143" s="26"/>
      <c r="AIU143" s="26"/>
      <c r="AIV143" s="26"/>
      <c r="AIW143" s="26"/>
      <c r="AIX143" s="26"/>
      <c r="AIY143" s="26"/>
      <c r="AIZ143" s="26"/>
      <c r="AJA143" s="26"/>
      <c r="AJB143" s="26"/>
      <c r="AJC143" s="26"/>
      <c r="AJD143" s="26"/>
      <c r="AJE143" s="26"/>
      <c r="AJF143" s="26"/>
      <c r="AJG143" s="26"/>
      <c r="AJH143" s="26"/>
      <c r="AJI143" s="26"/>
      <c r="AJJ143" s="26"/>
      <c r="AJK143" s="26"/>
      <c r="AJL143" s="26"/>
      <c r="AJM143" s="26"/>
      <c r="AJN143" s="26"/>
      <c r="AJO143" s="26"/>
      <c r="AJP143" s="26"/>
      <c r="AJQ143" s="26"/>
      <c r="AJR143" s="26"/>
      <c r="AJS143" s="26"/>
      <c r="AJT143" s="26"/>
      <c r="AJU143" s="26"/>
      <c r="AJV143" s="26"/>
      <c r="AJW143" s="26"/>
      <c r="AJX143" s="26"/>
      <c r="AJY143" s="26"/>
      <c r="AJZ143" s="26"/>
      <c r="AKA143" s="26"/>
      <c r="AKB143" s="26"/>
      <c r="AKC143" s="26"/>
      <c r="AKD143" s="26"/>
      <c r="AKE143" s="26"/>
      <c r="AKF143" s="26"/>
      <c r="AKG143" s="26"/>
      <c r="AKH143" s="26"/>
      <c r="AKI143" s="26"/>
      <c r="AKJ143" s="26"/>
      <c r="AKK143" s="26"/>
      <c r="AKL143" s="26"/>
      <c r="AKM143" s="26"/>
      <c r="AKN143" s="26"/>
      <c r="AKO143" s="26"/>
      <c r="AKP143" s="26"/>
      <c r="AKQ143" s="26"/>
      <c r="AKR143" s="26"/>
      <c r="AKS143" s="26"/>
      <c r="AKT143" s="26"/>
      <c r="AKU143" s="26"/>
      <c r="AKV143" s="26"/>
      <c r="AKW143" s="26"/>
      <c r="AKX143" s="26"/>
      <c r="AKY143" s="26"/>
      <c r="AKZ143" s="26"/>
      <c r="ALA143" s="26"/>
      <c r="ALB143" s="26"/>
      <c r="ALC143" s="26"/>
      <c r="ALD143" s="26"/>
      <c r="ALE143" s="26"/>
      <c r="ALF143" s="26"/>
      <c r="ALG143" s="26"/>
      <c r="ALH143" s="26"/>
      <c r="ALI143" s="26"/>
      <c r="ALJ143" s="26"/>
      <c r="ALK143" s="26"/>
      <c r="ALL143" s="26"/>
      <c r="ALM143" s="26"/>
      <c r="ALN143" s="26"/>
      <c r="ALO143" s="26"/>
      <c r="ALP143" s="26"/>
      <c r="ALQ143" s="26"/>
      <c r="ALR143" s="26"/>
      <c r="ALS143" s="26"/>
      <c r="ALT143" s="26"/>
      <c r="ALU143" s="26"/>
      <c r="ALV143" s="26"/>
      <c r="ALW143" s="26"/>
      <c r="ALX143" s="26"/>
      <c r="ALY143" s="26"/>
      <c r="ALZ143" s="26"/>
      <c r="AMA143" s="26"/>
      <c r="AMB143" s="26"/>
      <c r="AMC143" s="26"/>
      <c r="AMD143" s="26"/>
      <c r="AME143" s="26"/>
      <c r="AMF143" s="26"/>
      <c r="AMG143" s="26"/>
      <c r="AMH143" s="26"/>
      <c r="AMI143" s="26"/>
      <c r="AMJ143" s="26"/>
    </row>
    <row r="144" spans="1:1024" s="28" customFormat="1" ht="25.5">
      <c r="A144" s="84" t="s">
        <v>56</v>
      </c>
      <c r="B144" s="158" t="s">
        <v>573</v>
      </c>
      <c r="C144" s="61" t="s">
        <v>12</v>
      </c>
      <c r="D144" s="24" t="s">
        <v>574</v>
      </c>
      <c r="E144" s="82" t="s">
        <v>118</v>
      </c>
      <c r="F144" s="35">
        <f>'MEMÓRIA DE CÁLCULO'!H926</f>
        <v>15</v>
      </c>
      <c r="G144" s="66">
        <v>138.78</v>
      </c>
      <c r="H144" s="36">
        <f t="shared" si="59"/>
        <v>169.63</v>
      </c>
      <c r="I144" s="71">
        <f t="shared" si="60"/>
        <v>2544.4499999999998</v>
      </c>
      <c r="J144" s="26"/>
      <c r="K144" s="26"/>
      <c r="L144" s="26"/>
      <c r="M144" s="10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c r="IW144" s="26"/>
      <c r="IX144" s="26"/>
      <c r="IY144" s="26"/>
      <c r="IZ144" s="26"/>
      <c r="JA144" s="26"/>
      <c r="JB144" s="26"/>
      <c r="JC144" s="26"/>
      <c r="JD144" s="26"/>
      <c r="JE144" s="26"/>
      <c r="JF144" s="26"/>
      <c r="JG144" s="26"/>
      <c r="JH144" s="26"/>
      <c r="JI144" s="26"/>
      <c r="JJ144" s="26"/>
      <c r="JK144" s="26"/>
      <c r="JL144" s="26"/>
      <c r="JM144" s="26"/>
      <c r="JN144" s="26"/>
      <c r="JO144" s="26"/>
      <c r="JP144" s="26"/>
      <c r="JQ144" s="26"/>
      <c r="JR144" s="26"/>
      <c r="JS144" s="26"/>
      <c r="JT144" s="26"/>
      <c r="JU144" s="26"/>
      <c r="JV144" s="26"/>
      <c r="JW144" s="26"/>
      <c r="JX144" s="26"/>
      <c r="JY144" s="26"/>
      <c r="JZ144" s="26"/>
      <c r="KA144" s="26"/>
      <c r="KB144" s="26"/>
      <c r="KC144" s="26"/>
      <c r="KD144" s="26"/>
      <c r="KE144" s="26"/>
      <c r="KF144" s="26"/>
      <c r="KG144" s="26"/>
      <c r="KH144" s="26"/>
      <c r="KI144" s="26"/>
      <c r="KJ144" s="26"/>
      <c r="KK144" s="26"/>
      <c r="KL144" s="26"/>
      <c r="KM144" s="26"/>
      <c r="KN144" s="26"/>
      <c r="KO144" s="26"/>
      <c r="KP144" s="26"/>
      <c r="KQ144" s="26"/>
      <c r="KR144" s="26"/>
      <c r="KS144" s="26"/>
      <c r="KT144" s="26"/>
      <c r="KU144" s="26"/>
      <c r="KV144" s="26"/>
      <c r="KW144" s="26"/>
      <c r="KX144" s="26"/>
      <c r="KY144" s="26"/>
      <c r="KZ144" s="26"/>
      <c r="LA144" s="26"/>
      <c r="LB144" s="26"/>
      <c r="LC144" s="26"/>
      <c r="LD144" s="26"/>
      <c r="LE144" s="26"/>
      <c r="LF144" s="26"/>
      <c r="LG144" s="26"/>
      <c r="LH144" s="26"/>
      <c r="LI144" s="26"/>
      <c r="LJ144" s="26"/>
      <c r="LK144" s="26"/>
      <c r="LL144" s="26"/>
      <c r="LM144" s="26"/>
      <c r="LN144" s="26"/>
      <c r="LO144" s="26"/>
      <c r="LP144" s="26"/>
      <c r="LQ144" s="26"/>
      <c r="LR144" s="26"/>
      <c r="LS144" s="26"/>
      <c r="LT144" s="26"/>
      <c r="LU144" s="26"/>
      <c r="LV144" s="26"/>
      <c r="LW144" s="26"/>
      <c r="LX144" s="26"/>
      <c r="LY144" s="26"/>
      <c r="LZ144" s="26"/>
      <c r="MA144" s="26"/>
      <c r="MB144" s="26"/>
      <c r="MC144" s="26"/>
      <c r="MD144" s="26"/>
      <c r="ME144" s="26"/>
      <c r="MF144" s="26"/>
      <c r="MG144" s="26"/>
      <c r="MH144" s="26"/>
      <c r="MI144" s="26"/>
      <c r="MJ144" s="26"/>
      <c r="MK144" s="26"/>
      <c r="ML144" s="26"/>
      <c r="MM144" s="26"/>
      <c r="MN144" s="26"/>
      <c r="MO144" s="26"/>
      <c r="MP144" s="26"/>
      <c r="MQ144" s="26"/>
      <c r="MR144" s="26"/>
      <c r="MS144" s="26"/>
      <c r="MT144" s="26"/>
      <c r="MU144" s="26"/>
      <c r="MV144" s="26"/>
      <c r="MW144" s="26"/>
      <c r="MX144" s="26"/>
      <c r="MY144" s="26"/>
      <c r="MZ144" s="26"/>
      <c r="NA144" s="26"/>
      <c r="NB144" s="26"/>
      <c r="NC144" s="26"/>
      <c r="ND144" s="26"/>
      <c r="NE144" s="26"/>
      <c r="NF144" s="26"/>
      <c r="NG144" s="26"/>
      <c r="NH144" s="26"/>
      <c r="NI144" s="26"/>
      <c r="NJ144" s="26"/>
      <c r="NK144" s="26"/>
      <c r="NL144" s="26"/>
      <c r="NM144" s="26"/>
      <c r="NN144" s="26"/>
      <c r="NO144" s="26"/>
      <c r="NP144" s="26"/>
      <c r="NQ144" s="26"/>
      <c r="NR144" s="26"/>
      <c r="NS144" s="26"/>
      <c r="NT144" s="26"/>
      <c r="NU144" s="26"/>
      <c r="NV144" s="26"/>
      <c r="NW144" s="26"/>
      <c r="NX144" s="26"/>
      <c r="NY144" s="26"/>
      <c r="NZ144" s="26"/>
      <c r="OA144" s="26"/>
      <c r="OB144" s="26"/>
      <c r="OC144" s="26"/>
      <c r="OD144" s="26"/>
      <c r="OE144" s="26"/>
      <c r="OF144" s="26"/>
      <c r="OG144" s="26"/>
      <c r="OH144" s="26"/>
      <c r="OI144" s="26"/>
      <c r="OJ144" s="26"/>
      <c r="OK144" s="26"/>
      <c r="OL144" s="26"/>
      <c r="OM144" s="26"/>
      <c r="ON144" s="26"/>
      <c r="OO144" s="26"/>
      <c r="OP144" s="26"/>
      <c r="OQ144" s="26"/>
      <c r="OR144" s="26"/>
      <c r="OS144" s="26"/>
      <c r="OT144" s="26"/>
      <c r="OU144" s="26"/>
      <c r="OV144" s="26"/>
      <c r="OW144" s="26"/>
      <c r="OX144" s="26"/>
      <c r="OY144" s="26"/>
      <c r="OZ144" s="26"/>
      <c r="PA144" s="26"/>
      <c r="PB144" s="26"/>
      <c r="PC144" s="26"/>
      <c r="PD144" s="26"/>
      <c r="PE144" s="26"/>
      <c r="PF144" s="26"/>
      <c r="PG144" s="26"/>
      <c r="PH144" s="26"/>
      <c r="PI144" s="26"/>
      <c r="PJ144" s="26"/>
      <c r="PK144" s="26"/>
      <c r="PL144" s="26"/>
      <c r="PM144" s="26"/>
      <c r="PN144" s="26"/>
      <c r="PO144" s="26"/>
      <c r="PP144" s="26"/>
      <c r="PQ144" s="26"/>
      <c r="PR144" s="26"/>
      <c r="PS144" s="26"/>
      <c r="PT144" s="26"/>
      <c r="PU144" s="26"/>
      <c r="PV144" s="26"/>
      <c r="PW144" s="26"/>
      <c r="PX144" s="26"/>
      <c r="PY144" s="26"/>
      <c r="PZ144" s="26"/>
      <c r="QA144" s="26"/>
      <c r="QB144" s="26"/>
      <c r="QC144" s="26"/>
      <c r="QD144" s="26"/>
      <c r="QE144" s="26"/>
      <c r="QF144" s="26"/>
      <c r="QG144" s="26"/>
      <c r="QH144" s="26"/>
      <c r="QI144" s="26"/>
      <c r="QJ144" s="26"/>
      <c r="QK144" s="26"/>
      <c r="QL144" s="26"/>
      <c r="QM144" s="26"/>
      <c r="QN144" s="26"/>
      <c r="QO144" s="26"/>
      <c r="QP144" s="26"/>
      <c r="QQ144" s="26"/>
      <c r="QR144" s="26"/>
      <c r="QS144" s="26"/>
      <c r="QT144" s="26"/>
      <c r="QU144" s="26"/>
      <c r="QV144" s="26"/>
      <c r="QW144" s="26"/>
      <c r="QX144" s="26"/>
      <c r="QY144" s="26"/>
      <c r="QZ144" s="26"/>
      <c r="RA144" s="26"/>
      <c r="RB144" s="26"/>
      <c r="RC144" s="26"/>
      <c r="RD144" s="26"/>
      <c r="RE144" s="26"/>
      <c r="RF144" s="26"/>
      <c r="RG144" s="26"/>
      <c r="RH144" s="26"/>
      <c r="RI144" s="26"/>
      <c r="RJ144" s="26"/>
      <c r="RK144" s="26"/>
      <c r="RL144" s="26"/>
      <c r="RM144" s="26"/>
      <c r="RN144" s="26"/>
      <c r="RO144" s="26"/>
      <c r="RP144" s="26"/>
      <c r="RQ144" s="26"/>
      <c r="RR144" s="26"/>
      <c r="RS144" s="26"/>
      <c r="RT144" s="26"/>
      <c r="RU144" s="26"/>
      <c r="RV144" s="26"/>
      <c r="RW144" s="26"/>
      <c r="RX144" s="26"/>
      <c r="RY144" s="26"/>
      <c r="RZ144" s="26"/>
      <c r="SA144" s="26"/>
      <c r="SB144" s="26"/>
      <c r="SC144" s="26"/>
      <c r="SD144" s="26"/>
      <c r="SE144" s="26"/>
      <c r="SF144" s="26"/>
      <c r="SG144" s="26"/>
      <c r="SH144" s="26"/>
      <c r="SI144" s="26"/>
      <c r="SJ144" s="26"/>
      <c r="SK144" s="26"/>
      <c r="SL144" s="26"/>
      <c r="SM144" s="26"/>
      <c r="SN144" s="26"/>
      <c r="SO144" s="26"/>
      <c r="SP144" s="26"/>
      <c r="SQ144" s="26"/>
      <c r="SR144" s="26"/>
      <c r="SS144" s="26"/>
      <c r="ST144" s="26"/>
      <c r="SU144" s="26"/>
      <c r="SV144" s="26"/>
      <c r="SW144" s="26"/>
      <c r="SX144" s="26"/>
      <c r="SY144" s="26"/>
      <c r="SZ144" s="26"/>
      <c r="TA144" s="26"/>
      <c r="TB144" s="26"/>
      <c r="TC144" s="26"/>
      <c r="TD144" s="26"/>
      <c r="TE144" s="26"/>
      <c r="TF144" s="26"/>
      <c r="TG144" s="26"/>
      <c r="TH144" s="26"/>
      <c r="TI144" s="26"/>
      <c r="TJ144" s="26"/>
      <c r="TK144" s="26"/>
      <c r="TL144" s="26"/>
      <c r="TM144" s="26"/>
      <c r="TN144" s="26"/>
      <c r="TO144" s="26"/>
      <c r="TP144" s="26"/>
      <c r="TQ144" s="26"/>
      <c r="TR144" s="26"/>
      <c r="TS144" s="26"/>
      <c r="TT144" s="26"/>
      <c r="TU144" s="26"/>
      <c r="TV144" s="26"/>
      <c r="TW144" s="26"/>
      <c r="TX144" s="26"/>
      <c r="TY144" s="26"/>
      <c r="TZ144" s="26"/>
      <c r="UA144" s="26"/>
      <c r="UB144" s="26"/>
      <c r="UC144" s="26"/>
      <c r="UD144" s="26"/>
      <c r="UE144" s="26"/>
      <c r="UF144" s="26"/>
      <c r="UG144" s="26"/>
      <c r="UH144" s="26"/>
      <c r="UI144" s="26"/>
      <c r="UJ144" s="26"/>
      <c r="UK144" s="26"/>
      <c r="UL144" s="26"/>
      <c r="UM144" s="26"/>
      <c r="UN144" s="26"/>
      <c r="UO144" s="26"/>
      <c r="UP144" s="26"/>
      <c r="UQ144" s="26"/>
      <c r="UR144" s="26"/>
      <c r="US144" s="26"/>
      <c r="UT144" s="26"/>
      <c r="UU144" s="26"/>
      <c r="UV144" s="26"/>
      <c r="UW144" s="26"/>
      <c r="UX144" s="26"/>
      <c r="UY144" s="26"/>
      <c r="UZ144" s="26"/>
      <c r="VA144" s="26"/>
      <c r="VB144" s="26"/>
      <c r="VC144" s="26"/>
      <c r="VD144" s="26"/>
      <c r="VE144" s="26"/>
      <c r="VF144" s="26"/>
      <c r="VG144" s="26"/>
      <c r="VH144" s="26"/>
      <c r="VI144" s="26"/>
      <c r="VJ144" s="26"/>
      <c r="VK144" s="26"/>
      <c r="VL144" s="26"/>
      <c r="VM144" s="26"/>
      <c r="VN144" s="26"/>
      <c r="VO144" s="26"/>
      <c r="VP144" s="26"/>
      <c r="VQ144" s="26"/>
      <c r="VR144" s="26"/>
      <c r="VS144" s="26"/>
      <c r="VT144" s="26"/>
      <c r="VU144" s="26"/>
      <c r="VV144" s="26"/>
      <c r="VW144" s="26"/>
      <c r="VX144" s="26"/>
      <c r="VY144" s="26"/>
      <c r="VZ144" s="26"/>
      <c r="WA144" s="26"/>
      <c r="WB144" s="26"/>
      <c r="WC144" s="26"/>
      <c r="WD144" s="26"/>
      <c r="WE144" s="26"/>
      <c r="WF144" s="26"/>
      <c r="WG144" s="26"/>
      <c r="WH144" s="26"/>
      <c r="WI144" s="26"/>
      <c r="WJ144" s="26"/>
      <c r="WK144" s="26"/>
      <c r="WL144" s="26"/>
      <c r="WM144" s="26"/>
      <c r="WN144" s="26"/>
      <c r="WO144" s="26"/>
      <c r="WP144" s="26"/>
      <c r="WQ144" s="26"/>
      <c r="WR144" s="26"/>
      <c r="WS144" s="26"/>
      <c r="WT144" s="26"/>
      <c r="WU144" s="26"/>
      <c r="WV144" s="26"/>
      <c r="WW144" s="26"/>
      <c r="WX144" s="26"/>
      <c r="WY144" s="26"/>
      <c r="WZ144" s="26"/>
      <c r="XA144" s="26"/>
      <c r="XB144" s="26"/>
      <c r="XC144" s="26"/>
      <c r="XD144" s="26"/>
      <c r="XE144" s="26"/>
      <c r="XF144" s="26"/>
      <c r="XG144" s="26"/>
      <c r="XH144" s="26"/>
      <c r="XI144" s="26"/>
      <c r="XJ144" s="26"/>
      <c r="XK144" s="26"/>
      <c r="XL144" s="26"/>
      <c r="XM144" s="26"/>
      <c r="XN144" s="26"/>
      <c r="XO144" s="26"/>
      <c r="XP144" s="26"/>
      <c r="XQ144" s="26"/>
      <c r="XR144" s="26"/>
      <c r="XS144" s="26"/>
      <c r="XT144" s="26"/>
      <c r="XU144" s="26"/>
      <c r="XV144" s="26"/>
      <c r="XW144" s="26"/>
      <c r="XX144" s="26"/>
      <c r="XY144" s="26"/>
      <c r="XZ144" s="26"/>
      <c r="YA144" s="26"/>
      <c r="YB144" s="26"/>
      <c r="YC144" s="26"/>
      <c r="YD144" s="26"/>
      <c r="YE144" s="26"/>
      <c r="YF144" s="26"/>
      <c r="YG144" s="26"/>
      <c r="YH144" s="26"/>
      <c r="YI144" s="26"/>
      <c r="YJ144" s="26"/>
      <c r="YK144" s="26"/>
      <c r="YL144" s="26"/>
      <c r="YM144" s="26"/>
      <c r="YN144" s="26"/>
      <c r="YO144" s="26"/>
      <c r="YP144" s="26"/>
      <c r="YQ144" s="26"/>
      <c r="YR144" s="26"/>
      <c r="YS144" s="26"/>
      <c r="YT144" s="26"/>
      <c r="YU144" s="26"/>
      <c r="YV144" s="26"/>
      <c r="YW144" s="26"/>
      <c r="YX144" s="26"/>
      <c r="YY144" s="26"/>
      <c r="YZ144" s="26"/>
      <c r="ZA144" s="26"/>
      <c r="ZB144" s="26"/>
      <c r="ZC144" s="26"/>
      <c r="ZD144" s="26"/>
      <c r="ZE144" s="26"/>
      <c r="ZF144" s="26"/>
      <c r="ZG144" s="26"/>
      <c r="ZH144" s="26"/>
      <c r="ZI144" s="26"/>
      <c r="ZJ144" s="26"/>
      <c r="ZK144" s="26"/>
      <c r="ZL144" s="26"/>
      <c r="ZM144" s="26"/>
      <c r="ZN144" s="26"/>
      <c r="ZO144" s="26"/>
      <c r="ZP144" s="26"/>
      <c r="ZQ144" s="26"/>
      <c r="ZR144" s="26"/>
      <c r="ZS144" s="26"/>
      <c r="ZT144" s="26"/>
      <c r="ZU144" s="26"/>
      <c r="ZV144" s="26"/>
      <c r="ZW144" s="26"/>
      <c r="ZX144" s="26"/>
      <c r="ZY144" s="26"/>
      <c r="ZZ144" s="26"/>
      <c r="AAA144" s="26"/>
      <c r="AAB144" s="26"/>
      <c r="AAC144" s="26"/>
      <c r="AAD144" s="26"/>
      <c r="AAE144" s="26"/>
      <c r="AAF144" s="26"/>
      <c r="AAG144" s="26"/>
      <c r="AAH144" s="26"/>
      <c r="AAI144" s="26"/>
      <c r="AAJ144" s="26"/>
      <c r="AAK144" s="26"/>
      <c r="AAL144" s="26"/>
      <c r="AAM144" s="26"/>
      <c r="AAN144" s="26"/>
      <c r="AAO144" s="26"/>
      <c r="AAP144" s="26"/>
      <c r="AAQ144" s="26"/>
      <c r="AAR144" s="26"/>
      <c r="AAS144" s="26"/>
      <c r="AAT144" s="26"/>
      <c r="AAU144" s="26"/>
      <c r="AAV144" s="26"/>
      <c r="AAW144" s="26"/>
      <c r="AAX144" s="26"/>
      <c r="AAY144" s="26"/>
      <c r="AAZ144" s="26"/>
      <c r="ABA144" s="26"/>
      <c r="ABB144" s="26"/>
      <c r="ABC144" s="26"/>
      <c r="ABD144" s="26"/>
      <c r="ABE144" s="26"/>
      <c r="ABF144" s="26"/>
      <c r="ABG144" s="26"/>
      <c r="ABH144" s="26"/>
      <c r="ABI144" s="26"/>
      <c r="ABJ144" s="26"/>
      <c r="ABK144" s="26"/>
      <c r="ABL144" s="26"/>
      <c r="ABM144" s="26"/>
      <c r="ABN144" s="26"/>
      <c r="ABO144" s="26"/>
      <c r="ABP144" s="26"/>
      <c r="ABQ144" s="26"/>
      <c r="ABR144" s="26"/>
      <c r="ABS144" s="26"/>
      <c r="ABT144" s="26"/>
      <c r="ABU144" s="26"/>
      <c r="ABV144" s="26"/>
      <c r="ABW144" s="26"/>
      <c r="ABX144" s="26"/>
      <c r="ABY144" s="26"/>
      <c r="ABZ144" s="26"/>
      <c r="ACA144" s="26"/>
      <c r="ACB144" s="26"/>
      <c r="ACC144" s="26"/>
      <c r="ACD144" s="26"/>
      <c r="ACE144" s="26"/>
      <c r="ACF144" s="26"/>
      <c r="ACG144" s="26"/>
      <c r="ACH144" s="26"/>
      <c r="ACI144" s="26"/>
      <c r="ACJ144" s="26"/>
      <c r="ACK144" s="26"/>
      <c r="ACL144" s="26"/>
      <c r="ACM144" s="26"/>
      <c r="ACN144" s="26"/>
      <c r="ACO144" s="26"/>
      <c r="ACP144" s="26"/>
      <c r="ACQ144" s="26"/>
      <c r="ACR144" s="26"/>
      <c r="ACS144" s="26"/>
      <c r="ACT144" s="26"/>
      <c r="ACU144" s="26"/>
      <c r="ACV144" s="26"/>
      <c r="ACW144" s="26"/>
      <c r="ACX144" s="26"/>
      <c r="ACY144" s="26"/>
      <c r="ACZ144" s="26"/>
      <c r="ADA144" s="26"/>
      <c r="ADB144" s="26"/>
      <c r="ADC144" s="26"/>
      <c r="ADD144" s="26"/>
      <c r="ADE144" s="26"/>
      <c r="ADF144" s="26"/>
      <c r="ADG144" s="26"/>
      <c r="ADH144" s="26"/>
      <c r="ADI144" s="26"/>
      <c r="ADJ144" s="26"/>
      <c r="ADK144" s="26"/>
      <c r="ADL144" s="26"/>
      <c r="ADM144" s="26"/>
      <c r="ADN144" s="26"/>
      <c r="ADO144" s="26"/>
      <c r="ADP144" s="26"/>
      <c r="ADQ144" s="26"/>
      <c r="ADR144" s="26"/>
      <c r="ADS144" s="26"/>
      <c r="ADT144" s="26"/>
      <c r="ADU144" s="26"/>
      <c r="ADV144" s="26"/>
      <c r="ADW144" s="26"/>
      <c r="ADX144" s="26"/>
      <c r="ADY144" s="26"/>
      <c r="ADZ144" s="26"/>
      <c r="AEA144" s="26"/>
      <c r="AEB144" s="26"/>
      <c r="AEC144" s="26"/>
      <c r="AED144" s="26"/>
      <c r="AEE144" s="26"/>
      <c r="AEF144" s="26"/>
      <c r="AEG144" s="26"/>
      <c r="AEH144" s="26"/>
      <c r="AEI144" s="26"/>
      <c r="AEJ144" s="26"/>
      <c r="AEK144" s="26"/>
      <c r="AEL144" s="26"/>
      <c r="AEM144" s="26"/>
      <c r="AEN144" s="26"/>
      <c r="AEO144" s="26"/>
      <c r="AEP144" s="26"/>
      <c r="AEQ144" s="26"/>
      <c r="AER144" s="26"/>
      <c r="AES144" s="26"/>
      <c r="AET144" s="26"/>
      <c r="AEU144" s="26"/>
      <c r="AEV144" s="26"/>
      <c r="AEW144" s="26"/>
      <c r="AEX144" s="26"/>
      <c r="AEY144" s="26"/>
      <c r="AEZ144" s="26"/>
      <c r="AFA144" s="26"/>
      <c r="AFB144" s="26"/>
      <c r="AFC144" s="26"/>
      <c r="AFD144" s="26"/>
      <c r="AFE144" s="26"/>
      <c r="AFF144" s="26"/>
      <c r="AFG144" s="26"/>
      <c r="AFH144" s="26"/>
      <c r="AFI144" s="26"/>
      <c r="AFJ144" s="26"/>
      <c r="AFK144" s="26"/>
      <c r="AFL144" s="26"/>
      <c r="AFM144" s="26"/>
      <c r="AFN144" s="26"/>
      <c r="AFO144" s="26"/>
      <c r="AFP144" s="26"/>
      <c r="AFQ144" s="26"/>
      <c r="AFR144" s="26"/>
      <c r="AFS144" s="26"/>
      <c r="AFT144" s="26"/>
      <c r="AFU144" s="26"/>
      <c r="AFV144" s="26"/>
      <c r="AFW144" s="26"/>
      <c r="AFX144" s="26"/>
      <c r="AFY144" s="26"/>
      <c r="AFZ144" s="26"/>
      <c r="AGA144" s="26"/>
      <c r="AGB144" s="26"/>
      <c r="AGC144" s="26"/>
      <c r="AGD144" s="26"/>
      <c r="AGE144" s="26"/>
      <c r="AGF144" s="26"/>
      <c r="AGG144" s="26"/>
      <c r="AGH144" s="26"/>
      <c r="AGI144" s="26"/>
      <c r="AGJ144" s="26"/>
      <c r="AGK144" s="26"/>
      <c r="AGL144" s="26"/>
      <c r="AGM144" s="26"/>
      <c r="AGN144" s="26"/>
      <c r="AGO144" s="26"/>
      <c r="AGP144" s="26"/>
      <c r="AGQ144" s="26"/>
      <c r="AGR144" s="26"/>
      <c r="AGS144" s="26"/>
      <c r="AGT144" s="26"/>
      <c r="AGU144" s="26"/>
      <c r="AGV144" s="26"/>
      <c r="AGW144" s="26"/>
      <c r="AGX144" s="26"/>
      <c r="AGY144" s="26"/>
      <c r="AGZ144" s="26"/>
      <c r="AHA144" s="26"/>
      <c r="AHB144" s="26"/>
      <c r="AHC144" s="26"/>
      <c r="AHD144" s="26"/>
      <c r="AHE144" s="26"/>
      <c r="AHF144" s="26"/>
      <c r="AHG144" s="26"/>
      <c r="AHH144" s="26"/>
      <c r="AHI144" s="26"/>
      <c r="AHJ144" s="26"/>
      <c r="AHK144" s="26"/>
      <c r="AHL144" s="26"/>
      <c r="AHM144" s="26"/>
      <c r="AHN144" s="26"/>
      <c r="AHO144" s="26"/>
      <c r="AHP144" s="26"/>
      <c r="AHQ144" s="26"/>
      <c r="AHR144" s="26"/>
      <c r="AHS144" s="26"/>
      <c r="AHT144" s="26"/>
      <c r="AHU144" s="26"/>
      <c r="AHV144" s="26"/>
      <c r="AHW144" s="26"/>
      <c r="AHX144" s="26"/>
      <c r="AHY144" s="26"/>
      <c r="AHZ144" s="26"/>
      <c r="AIA144" s="26"/>
      <c r="AIB144" s="26"/>
      <c r="AIC144" s="26"/>
      <c r="AID144" s="26"/>
      <c r="AIE144" s="26"/>
      <c r="AIF144" s="26"/>
      <c r="AIG144" s="26"/>
      <c r="AIH144" s="26"/>
      <c r="AII144" s="26"/>
      <c r="AIJ144" s="26"/>
      <c r="AIK144" s="26"/>
      <c r="AIL144" s="26"/>
      <c r="AIM144" s="26"/>
      <c r="AIN144" s="26"/>
      <c r="AIO144" s="26"/>
      <c r="AIP144" s="26"/>
      <c r="AIQ144" s="26"/>
      <c r="AIR144" s="26"/>
      <c r="AIS144" s="26"/>
      <c r="AIT144" s="26"/>
      <c r="AIU144" s="26"/>
      <c r="AIV144" s="26"/>
      <c r="AIW144" s="26"/>
      <c r="AIX144" s="26"/>
      <c r="AIY144" s="26"/>
      <c r="AIZ144" s="26"/>
      <c r="AJA144" s="26"/>
      <c r="AJB144" s="26"/>
      <c r="AJC144" s="26"/>
      <c r="AJD144" s="26"/>
      <c r="AJE144" s="26"/>
      <c r="AJF144" s="26"/>
      <c r="AJG144" s="26"/>
      <c r="AJH144" s="26"/>
      <c r="AJI144" s="26"/>
      <c r="AJJ144" s="26"/>
      <c r="AJK144" s="26"/>
      <c r="AJL144" s="26"/>
      <c r="AJM144" s="26"/>
      <c r="AJN144" s="26"/>
      <c r="AJO144" s="26"/>
      <c r="AJP144" s="26"/>
      <c r="AJQ144" s="26"/>
      <c r="AJR144" s="26"/>
      <c r="AJS144" s="26"/>
      <c r="AJT144" s="26"/>
      <c r="AJU144" s="26"/>
      <c r="AJV144" s="26"/>
      <c r="AJW144" s="26"/>
      <c r="AJX144" s="26"/>
      <c r="AJY144" s="26"/>
      <c r="AJZ144" s="26"/>
      <c r="AKA144" s="26"/>
      <c r="AKB144" s="26"/>
      <c r="AKC144" s="26"/>
      <c r="AKD144" s="26"/>
      <c r="AKE144" s="26"/>
      <c r="AKF144" s="26"/>
      <c r="AKG144" s="26"/>
      <c r="AKH144" s="26"/>
      <c r="AKI144" s="26"/>
      <c r="AKJ144" s="26"/>
      <c r="AKK144" s="26"/>
      <c r="AKL144" s="26"/>
      <c r="AKM144" s="26"/>
      <c r="AKN144" s="26"/>
      <c r="AKO144" s="26"/>
      <c r="AKP144" s="26"/>
      <c r="AKQ144" s="26"/>
      <c r="AKR144" s="26"/>
      <c r="AKS144" s="26"/>
      <c r="AKT144" s="26"/>
      <c r="AKU144" s="26"/>
      <c r="AKV144" s="26"/>
      <c r="AKW144" s="26"/>
      <c r="AKX144" s="26"/>
      <c r="AKY144" s="26"/>
      <c r="AKZ144" s="26"/>
      <c r="ALA144" s="26"/>
      <c r="ALB144" s="26"/>
      <c r="ALC144" s="26"/>
      <c r="ALD144" s="26"/>
      <c r="ALE144" s="26"/>
      <c r="ALF144" s="26"/>
      <c r="ALG144" s="26"/>
      <c r="ALH144" s="26"/>
      <c r="ALI144" s="26"/>
      <c r="ALJ144" s="26"/>
      <c r="ALK144" s="26"/>
      <c r="ALL144" s="26"/>
      <c r="ALM144" s="26"/>
      <c r="ALN144" s="26"/>
      <c r="ALO144" s="26"/>
      <c r="ALP144" s="26"/>
      <c r="ALQ144" s="26"/>
      <c r="ALR144" s="26"/>
      <c r="ALS144" s="26"/>
      <c r="ALT144" s="26"/>
      <c r="ALU144" s="26"/>
      <c r="ALV144" s="26"/>
      <c r="ALW144" s="26"/>
      <c r="ALX144" s="26"/>
      <c r="ALY144" s="26"/>
      <c r="ALZ144" s="26"/>
      <c r="AMA144" s="26"/>
      <c r="AMB144" s="26"/>
      <c r="AMC144" s="26"/>
      <c r="AMD144" s="26"/>
      <c r="AME144" s="26"/>
      <c r="AMF144" s="26"/>
      <c r="AMG144" s="26"/>
      <c r="AMH144" s="26"/>
      <c r="AMI144" s="26"/>
      <c r="AMJ144" s="26"/>
    </row>
    <row r="145" spans="1:1024" s="28" customFormat="1" ht="25.5">
      <c r="A145" s="84" t="s">
        <v>57</v>
      </c>
      <c r="B145" s="158" t="s">
        <v>575</v>
      </c>
      <c r="C145" s="61" t="s">
        <v>12</v>
      </c>
      <c r="D145" s="24" t="s">
        <v>576</v>
      </c>
      <c r="E145" s="82" t="s">
        <v>118</v>
      </c>
      <c r="F145" s="35">
        <f>'MEMÓRIA DE CÁLCULO'!H929</f>
        <v>15</v>
      </c>
      <c r="G145" s="81">
        <v>165.03</v>
      </c>
      <c r="H145" s="36">
        <f t="shared" si="59"/>
        <v>201.72</v>
      </c>
      <c r="I145" s="71">
        <f t="shared" si="60"/>
        <v>3025.8</v>
      </c>
      <c r="J145" s="26"/>
      <c r="K145" s="26"/>
      <c r="L145" s="26"/>
      <c r="M145" s="10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c r="IU145" s="26"/>
      <c r="IV145" s="26"/>
      <c r="IW145" s="26"/>
      <c r="IX145" s="26"/>
      <c r="IY145" s="26"/>
      <c r="IZ145" s="26"/>
      <c r="JA145" s="26"/>
      <c r="JB145" s="26"/>
      <c r="JC145" s="26"/>
      <c r="JD145" s="26"/>
      <c r="JE145" s="26"/>
      <c r="JF145" s="26"/>
      <c r="JG145" s="26"/>
      <c r="JH145" s="26"/>
      <c r="JI145" s="26"/>
      <c r="JJ145" s="26"/>
      <c r="JK145" s="26"/>
      <c r="JL145" s="26"/>
      <c r="JM145" s="26"/>
      <c r="JN145" s="26"/>
      <c r="JO145" s="26"/>
      <c r="JP145" s="26"/>
      <c r="JQ145" s="26"/>
      <c r="JR145" s="26"/>
      <c r="JS145" s="26"/>
      <c r="JT145" s="26"/>
      <c r="JU145" s="26"/>
      <c r="JV145" s="26"/>
      <c r="JW145" s="26"/>
      <c r="JX145" s="26"/>
      <c r="JY145" s="26"/>
      <c r="JZ145" s="26"/>
      <c r="KA145" s="26"/>
      <c r="KB145" s="26"/>
      <c r="KC145" s="26"/>
      <c r="KD145" s="26"/>
      <c r="KE145" s="26"/>
      <c r="KF145" s="26"/>
      <c r="KG145" s="26"/>
      <c r="KH145" s="26"/>
      <c r="KI145" s="26"/>
      <c r="KJ145" s="26"/>
      <c r="KK145" s="26"/>
      <c r="KL145" s="26"/>
      <c r="KM145" s="26"/>
      <c r="KN145" s="26"/>
      <c r="KO145" s="26"/>
      <c r="KP145" s="26"/>
      <c r="KQ145" s="26"/>
      <c r="KR145" s="26"/>
      <c r="KS145" s="26"/>
      <c r="KT145" s="26"/>
      <c r="KU145" s="26"/>
      <c r="KV145" s="26"/>
      <c r="KW145" s="26"/>
      <c r="KX145" s="26"/>
      <c r="KY145" s="26"/>
      <c r="KZ145" s="26"/>
      <c r="LA145" s="26"/>
      <c r="LB145" s="26"/>
      <c r="LC145" s="26"/>
      <c r="LD145" s="26"/>
      <c r="LE145" s="26"/>
      <c r="LF145" s="26"/>
      <c r="LG145" s="26"/>
      <c r="LH145" s="26"/>
      <c r="LI145" s="26"/>
      <c r="LJ145" s="26"/>
      <c r="LK145" s="26"/>
      <c r="LL145" s="26"/>
      <c r="LM145" s="26"/>
      <c r="LN145" s="26"/>
      <c r="LO145" s="26"/>
      <c r="LP145" s="26"/>
      <c r="LQ145" s="26"/>
      <c r="LR145" s="26"/>
      <c r="LS145" s="26"/>
      <c r="LT145" s="26"/>
      <c r="LU145" s="26"/>
      <c r="LV145" s="26"/>
      <c r="LW145" s="26"/>
      <c r="LX145" s="26"/>
      <c r="LY145" s="26"/>
      <c r="LZ145" s="26"/>
      <c r="MA145" s="26"/>
      <c r="MB145" s="26"/>
      <c r="MC145" s="26"/>
      <c r="MD145" s="26"/>
      <c r="ME145" s="26"/>
      <c r="MF145" s="26"/>
      <c r="MG145" s="26"/>
      <c r="MH145" s="26"/>
      <c r="MI145" s="26"/>
      <c r="MJ145" s="26"/>
      <c r="MK145" s="26"/>
      <c r="ML145" s="26"/>
      <c r="MM145" s="26"/>
      <c r="MN145" s="26"/>
      <c r="MO145" s="26"/>
      <c r="MP145" s="26"/>
      <c r="MQ145" s="26"/>
      <c r="MR145" s="26"/>
      <c r="MS145" s="26"/>
      <c r="MT145" s="26"/>
      <c r="MU145" s="26"/>
      <c r="MV145" s="26"/>
      <c r="MW145" s="26"/>
      <c r="MX145" s="26"/>
      <c r="MY145" s="26"/>
      <c r="MZ145" s="26"/>
      <c r="NA145" s="26"/>
      <c r="NB145" s="26"/>
      <c r="NC145" s="26"/>
      <c r="ND145" s="26"/>
      <c r="NE145" s="26"/>
      <c r="NF145" s="26"/>
      <c r="NG145" s="26"/>
      <c r="NH145" s="26"/>
      <c r="NI145" s="26"/>
      <c r="NJ145" s="26"/>
      <c r="NK145" s="26"/>
      <c r="NL145" s="26"/>
      <c r="NM145" s="26"/>
      <c r="NN145" s="26"/>
      <c r="NO145" s="26"/>
      <c r="NP145" s="26"/>
      <c r="NQ145" s="26"/>
      <c r="NR145" s="26"/>
      <c r="NS145" s="26"/>
      <c r="NT145" s="26"/>
      <c r="NU145" s="26"/>
      <c r="NV145" s="26"/>
      <c r="NW145" s="26"/>
      <c r="NX145" s="26"/>
      <c r="NY145" s="26"/>
      <c r="NZ145" s="26"/>
      <c r="OA145" s="26"/>
      <c r="OB145" s="26"/>
      <c r="OC145" s="26"/>
      <c r="OD145" s="26"/>
      <c r="OE145" s="26"/>
      <c r="OF145" s="26"/>
      <c r="OG145" s="26"/>
      <c r="OH145" s="26"/>
      <c r="OI145" s="26"/>
      <c r="OJ145" s="26"/>
      <c r="OK145" s="26"/>
      <c r="OL145" s="26"/>
      <c r="OM145" s="26"/>
      <c r="ON145" s="26"/>
      <c r="OO145" s="26"/>
      <c r="OP145" s="26"/>
      <c r="OQ145" s="26"/>
      <c r="OR145" s="26"/>
      <c r="OS145" s="26"/>
      <c r="OT145" s="26"/>
      <c r="OU145" s="26"/>
      <c r="OV145" s="26"/>
      <c r="OW145" s="26"/>
      <c r="OX145" s="26"/>
      <c r="OY145" s="26"/>
      <c r="OZ145" s="26"/>
      <c r="PA145" s="26"/>
      <c r="PB145" s="26"/>
      <c r="PC145" s="26"/>
      <c r="PD145" s="26"/>
      <c r="PE145" s="26"/>
      <c r="PF145" s="26"/>
      <c r="PG145" s="26"/>
      <c r="PH145" s="26"/>
      <c r="PI145" s="26"/>
      <c r="PJ145" s="26"/>
      <c r="PK145" s="26"/>
      <c r="PL145" s="26"/>
      <c r="PM145" s="26"/>
      <c r="PN145" s="26"/>
      <c r="PO145" s="26"/>
      <c r="PP145" s="26"/>
      <c r="PQ145" s="26"/>
      <c r="PR145" s="26"/>
      <c r="PS145" s="26"/>
      <c r="PT145" s="26"/>
      <c r="PU145" s="26"/>
      <c r="PV145" s="26"/>
      <c r="PW145" s="26"/>
      <c r="PX145" s="26"/>
      <c r="PY145" s="26"/>
      <c r="PZ145" s="26"/>
      <c r="QA145" s="26"/>
      <c r="QB145" s="26"/>
      <c r="QC145" s="26"/>
      <c r="QD145" s="26"/>
      <c r="QE145" s="26"/>
      <c r="QF145" s="26"/>
      <c r="QG145" s="26"/>
      <c r="QH145" s="26"/>
      <c r="QI145" s="26"/>
      <c r="QJ145" s="26"/>
      <c r="QK145" s="26"/>
      <c r="QL145" s="26"/>
      <c r="QM145" s="26"/>
      <c r="QN145" s="26"/>
      <c r="QO145" s="26"/>
      <c r="QP145" s="26"/>
      <c r="QQ145" s="26"/>
      <c r="QR145" s="26"/>
      <c r="QS145" s="26"/>
      <c r="QT145" s="26"/>
      <c r="QU145" s="26"/>
      <c r="QV145" s="26"/>
      <c r="QW145" s="26"/>
      <c r="QX145" s="26"/>
      <c r="QY145" s="26"/>
      <c r="QZ145" s="26"/>
      <c r="RA145" s="26"/>
      <c r="RB145" s="26"/>
      <c r="RC145" s="26"/>
      <c r="RD145" s="26"/>
      <c r="RE145" s="26"/>
      <c r="RF145" s="26"/>
      <c r="RG145" s="26"/>
      <c r="RH145" s="26"/>
      <c r="RI145" s="26"/>
      <c r="RJ145" s="26"/>
      <c r="RK145" s="26"/>
      <c r="RL145" s="26"/>
      <c r="RM145" s="26"/>
      <c r="RN145" s="26"/>
      <c r="RO145" s="26"/>
      <c r="RP145" s="26"/>
      <c r="RQ145" s="26"/>
      <c r="RR145" s="26"/>
      <c r="RS145" s="26"/>
      <c r="RT145" s="26"/>
      <c r="RU145" s="26"/>
      <c r="RV145" s="26"/>
      <c r="RW145" s="26"/>
      <c r="RX145" s="26"/>
      <c r="RY145" s="26"/>
      <c r="RZ145" s="26"/>
      <c r="SA145" s="26"/>
      <c r="SB145" s="26"/>
      <c r="SC145" s="26"/>
      <c r="SD145" s="26"/>
      <c r="SE145" s="26"/>
      <c r="SF145" s="26"/>
      <c r="SG145" s="26"/>
      <c r="SH145" s="26"/>
      <c r="SI145" s="26"/>
      <c r="SJ145" s="26"/>
      <c r="SK145" s="26"/>
      <c r="SL145" s="26"/>
      <c r="SM145" s="26"/>
      <c r="SN145" s="26"/>
      <c r="SO145" s="26"/>
      <c r="SP145" s="26"/>
      <c r="SQ145" s="26"/>
      <c r="SR145" s="26"/>
      <c r="SS145" s="26"/>
      <c r="ST145" s="26"/>
      <c r="SU145" s="26"/>
      <c r="SV145" s="26"/>
      <c r="SW145" s="26"/>
      <c r="SX145" s="26"/>
      <c r="SY145" s="26"/>
      <c r="SZ145" s="26"/>
      <c r="TA145" s="26"/>
      <c r="TB145" s="26"/>
      <c r="TC145" s="26"/>
      <c r="TD145" s="26"/>
      <c r="TE145" s="26"/>
      <c r="TF145" s="26"/>
      <c r="TG145" s="26"/>
      <c r="TH145" s="26"/>
      <c r="TI145" s="26"/>
      <c r="TJ145" s="26"/>
      <c r="TK145" s="26"/>
      <c r="TL145" s="26"/>
      <c r="TM145" s="26"/>
      <c r="TN145" s="26"/>
      <c r="TO145" s="26"/>
      <c r="TP145" s="26"/>
      <c r="TQ145" s="26"/>
      <c r="TR145" s="26"/>
      <c r="TS145" s="26"/>
      <c r="TT145" s="26"/>
      <c r="TU145" s="26"/>
      <c r="TV145" s="26"/>
      <c r="TW145" s="26"/>
      <c r="TX145" s="26"/>
      <c r="TY145" s="26"/>
      <c r="TZ145" s="26"/>
      <c r="UA145" s="26"/>
      <c r="UB145" s="26"/>
      <c r="UC145" s="26"/>
      <c r="UD145" s="26"/>
      <c r="UE145" s="26"/>
      <c r="UF145" s="26"/>
      <c r="UG145" s="26"/>
      <c r="UH145" s="26"/>
      <c r="UI145" s="26"/>
      <c r="UJ145" s="26"/>
      <c r="UK145" s="26"/>
      <c r="UL145" s="26"/>
      <c r="UM145" s="26"/>
      <c r="UN145" s="26"/>
      <c r="UO145" s="26"/>
      <c r="UP145" s="26"/>
      <c r="UQ145" s="26"/>
      <c r="UR145" s="26"/>
      <c r="US145" s="26"/>
      <c r="UT145" s="26"/>
      <c r="UU145" s="26"/>
      <c r="UV145" s="26"/>
      <c r="UW145" s="26"/>
      <c r="UX145" s="26"/>
      <c r="UY145" s="26"/>
      <c r="UZ145" s="26"/>
      <c r="VA145" s="26"/>
      <c r="VB145" s="26"/>
      <c r="VC145" s="26"/>
      <c r="VD145" s="26"/>
      <c r="VE145" s="26"/>
      <c r="VF145" s="26"/>
      <c r="VG145" s="26"/>
      <c r="VH145" s="26"/>
      <c r="VI145" s="26"/>
      <c r="VJ145" s="26"/>
      <c r="VK145" s="26"/>
      <c r="VL145" s="26"/>
      <c r="VM145" s="26"/>
      <c r="VN145" s="26"/>
      <c r="VO145" s="26"/>
      <c r="VP145" s="26"/>
      <c r="VQ145" s="26"/>
      <c r="VR145" s="26"/>
      <c r="VS145" s="26"/>
      <c r="VT145" s="26"/>
      <c r="VU145" s="26"/>
      <c r="VV145" s="26"/>
      <c r="VW145" s="26"/>
      <c r="VX145" s="26"/>
      <c r="VY145" s="26"/>
      <c r="VZ145" s="26"/>
      <c r="WA145" s="26"/>
      <c r="WB145" s="26"/>
      <c r="WC145" s="26"/>
      <c r="WD145" s="26"/>
      <c r="WE145" s="26"/>
      <c r="WF145" s="26"/>
      <c r="WG145" s="26"/>
      <c r="WH145" s="26"/>
      <c r="WI145" s="26"/>
      <c r="WJ145" s="26"/>
      <c r="WK145" s="26"/>
      <c r="WL145" s="26"/>
      <c r="WM145" s="26"/>
      <c r="WN145" s="26"/>
      <c r="WO145" s="26"/>
      <c r="WP145" s="26"/>
      <c r="WQ145" s="26"/>
      <c r="WR145" s="26"/>
      <c r="WS145" s="26"/>
      <c r="WT145" s="26"/>
      <c r="WU145" s="26"/>
      <c r="WV145" s="26"/>
      <c r="WW145" s="26"/>
      <c r="WX145" s="26"/>
      <c r="WY145" s="26"/>
      <c r="WZ145" s="26"/>
      <c r="XA145" s="26"/>
      <c r="XB145" s="26"/>
      <c r="XC145" s="26"/>
      <c r="XD145" s="26"/>
      <c r="XE145" s="26"/>
      <c r="XF145" s="26"/>
      <c r="XG145" s="26"/>
      <c r="XH145" s="26"/>
      <c r="XI145" s="26"/>
      <c r="XJ145" s="26"/>
      <c r="XK145" s="26"/>
      <c r="XL145" s="26"/>
      <c r="XM145" s="26"/>
      <c r="XN145" s="26"/>
      <c r="XO145" s="26"/>
      <c r="XP145" s="26"/>
      <c r="XQ145" s="26"/>
      <c r="XR145" s="26"/>
      <c r="XS145" s="26"/>
      <c r="XT145" s="26"/>
      <c r="XU145" s="26"/>
      <c r="XV145" s="26"/>
      <c r="XW145" s="26"/>
      <c r="XX145" s="26"/>
      <c r="XY145" s="26"/>
      <c r="XZ145" s="26"/>
      <c r="YA145" s="26"/>
      <c r="YB145" s="26"/>
      <c r="YC145" s="26"/>
      <c r="YD145" s="26"/>
      <c r="YE145" s="26"/>
      <c r="YF145" s="26"/>
      <c r="YG145" s="26"/>
      <c r="YH145" s="26"/>
      <c r="YI145" s="26"/>
      <c r="YJ145" s="26"/>
      <c r="YK145" s="26"/>
      <c r="YL145" s="26"/>
      <c r="YM145" s="26"/>
      <c r="YN145" s="26"/>
      <c r="YO145" s="26"/>
      <c r="YP145" s="26"/>
      <c r="YQ145" s="26"/>
      <c r="YR145" s="26"/>
      <c r="YS145" s="26"/>
      <c r="YT145" s="26"/>
      <c r="YU145" s="26"/>
      <c r="YV145" s="26"/>
      <c r="YW145" s="26"/>
      <c r="YX145" s="26"/>
      <c r="YY145" s="26"/>
      <c r="YZ145" s="26"/>
      <c r="ZA145" s="26"/>
      <c r="ZB145" s="26"/>
      <c r="ZC145" s="26"/>
      <c r="ZD145" s="26"/>
      <c r="ZE145" s="26"/>
      <c r="ZF145" s="26"/>
      <c r="ZG145" s="26"/>
      <c r="ZH145" s="26"/>
      <c r="ZI145" s="26"/>
      <c r="ZJ145" s="26"/>
      <c r="ZK145" s="26"/>
      <c r="ZL145" s="26"/>
      <c r="ZM145" s="26"/>
      <c r="ZN145" s="26"/>
      <c r="ZO145" s="26"/>
      <c r="ZP145" s="26"/>
      <c r="ZQ145" s="26"/>
      <c r="ZR145" s="26"/>
      <c r="ZS145" s="26"/>
      <c r="ZT145" s="26"/>
      <c r="ZU145" s="26"/>
      <c r="ZV145" s="26"/>
      <c r="ZW145" s="26"/>
      <c r="ZX145" s="26"/>
      <c r="ZY145" s="26"/>
      <c r="ZZ145" s="26"/>
      <c r="AAA145" s="26"/>
      <c r="AAB145" s="26"/>
      <c r="AAC145" s="26"/>
      <c r="AAD145" s="26"/>
      <c r="AAE145" s="26"/>
      <c r="AAF145" s="26"/>
      <c r="AAG145" s="26"/>
      <c r="AAH145" s="26"/>
      <c r="AAI145" s="26"/>
      <c r="AAJ145" s="26"/>
      <c r="AAK145" s="26"/>
      <c r="AAL145" s="26"/>
      <c r="AAM145" s="26"/>
      <c r="AAN145" s="26"/>
      <c r="AAO145" s="26"/>
      <c r="AAP145" s="26"/>
      <c r="AAQ145" s="26"/>
      <c r="AAR145" s="26"/>
      <c r="AAS145" s="26"/>
      <c r="AAT145" s="26"/>
      <c r="AAU145" s="26"/>
      <c r="AAV145" s="26"/>
      <c r="AAW145" s="26"/>
      <c r="AAX145" s="26"/>
      <c r="AAY145" s="26"/>
      <c r="AAZ145" s="26"/>
      <c r="ABA145" s="26"/>
      <c r="ABB145" s="26"/>
      <c r="ABC145" s="26"/>
      <c r="ABD145" s="26"/>
      <c r="ABE145" s="26"/>
      <c r="ABF145" s="26"/>
      <c r="ABG145" s="26"/>
      <c r="ABH145" s="26"/>
      <c r="ABI145" s="26"/>
      <c r="ABJ145" s="26"/>
      <c r="ABK145" s="26"/>
      <c r="ABL145" s="26"/>
      <c r="ABM145" s="26"/>
      <c r="ABN145" s="26"/>
      <c r="ABO145" s="26"/>
      <c r="ABP145" s="26"/>
      <c r="ABQ145" s="26"/>
      <c r="ABR145" s="26"/>
      <c r="ABS145" s="26"/>
      <c r="ABT145" s="26"/>
      <c r="ABU145" s="26"/>
      <c r="ABV145" s="26"/>
      <c r="ABW145" s="26"/>
      <c r="ABX145" s="26"/>
      <c r="ABY145" s="26"/>
      <c r="ABZ145" s="26"/>
      <c r="ACA145" s="26"/>
      <c r="ACB145" s="26"/>
      <c r="ACC145" s="26"/>
      <c r="ACD145" s="26"/>
      <c r="ACE145" s="26"/>
      <c r="ACF145" s="26"/>
      <c r="ACG145" s="26"/>
      <c r="ACH145" s="26"/>
      <c r="ACI145" s="26"/>
      <c r="ACJ145" s="26"/>
      <c r="ACK145" s="26"/>
      <c r="ACL145" s="26"/>
      <c r="ACM145" s="26"/>
      <c r="ACN145" s="26"/>
      <c r="ACO145" s="26"/>
      <c r="ACP145" s="26"/>
      <c r="ACQ145" s="26"/>
      <c r="ACR145" s="26"/>
      <c r="ACS145" s="26"/>
      <c r="ACT145" s="26"/>
      <c r="ACU145" s="26"/>
      <c r="ACV145" s="26"/>
      <c r="ACW145" s="26"/>
      <c r="ACX145" s="26"/>
      <c r="ACY145" s="26"/>
      <c r="ACZ145" s="26"/>
      <c r="ADA145" s="26"/>
      <c r="ADB145" s="26"/>
      <c r="ADC145" s="26"/>
      <c r="ADD145" s="26"/>
      <c r="ADE145" s="26"/>
      <c r="ADF145" s="26"/>
      <c r="ADG145" s="26"/>
      <c r="ADH145" s="26"/>
      <c r="ADI145" s="26"/>
      <c r="ADJ145" s="26"/>
      <c r="ADK145" s="26"/>
      <c r="ADL145" s="26"/>
      <c r="ADM145" s="26"/>
      <c r="ADN145" s="26"/>
      <c r="ADO145" s="26"/>
      <c r="ADP145" s="26"/>
      <c r="ADQ145" s="26"/>
      <c r="ADR145" s="26"/>
      <c r="ADS145" s="26"/>
      <c r="ADT145" s="26"/>
      <c r="ADU145" s="26"/>
      <c r="ADV145" s="26"/>
      <c r="ADW145" s="26"/>
      <c r="ADX145" s="26"/>
      <c r="ADY145" s="26"/>
      <c r="ADZ145" s="26"/>
      <c r="AEA145" s="26"/>
      <c r="AEB145" s="26"/>
      <c r="AEC145" s="26"/>
      <c r="AED145" s="26"/>
      <c r="AEE145" s="26"/>
      <c r="AEF145" s="26"/>
      <c r="AEG145" s="26"/>
      <c r="AEH145" s="26"/>
      <c r="AEI145" s="26"/>
      <c r="AEJ145" s="26"/>
      <c r="AEK145" s="26"/>
      <c r="AEL145" s="26"/>
      <c r="AEM145" s="26"/>
      <c r="AEN145" s="26"/>
      <c r="AEO145" s="26"/>
      <c r="AEP145" s="26"/>
      <c r="AEQ145" s="26"/>
      <c r="AER145" s="26"/>
      <c r="AES145" s="26"/>
      <c r="AET145" s="26"/>
      <c r="AEU145" s="26"/>
      <c r="AEV145" s="26"/>
      <c r="AEW145" s="26"/>
      <c r="AEX145" s="26"/>
      <c r="AEY145" s="26"/>
      <c r="AEZ145" s="26"/>
      <c r="AFA145" s="26"/>
      <c r="AFB145" s="26"/>
      <c r="AFC145" s="26"/>
      <c r="AFD145" s="26"/>
      <c r="AFE145" s="26"/>
      <c r="AFF145" s="26"/>
      <c r="AFG145" s="26"/>
      <c r="AFH145" s="26"/>
      <c r="AFI145" s="26"/>
      <c r="AFJ145" s="26"/>
      <c r="AFK145" s="26"/>
      <c r="AFL145" s="26"/>
      <c r="AFM145" s="26"/>
      <c r="AFN145" s="26"/>
      <c r="AFO145" s="26"/>
      <c r="AFP145" s="26"/>
      <c r="AFQ145" s="26"/>
      <c r="AFR145" s="26"/>
      <c r="AFS145" s="26"/>
      <c r="AFT145" s="26"/>
      <c r="AFU145" s="26"/>
      <c r="AFV145" s="26"/>
      <c r="AFW145" s="26"/>
      <c r="AFX145" s="26"/>
      <c r="AFY145" s="26"/>
      <c r="AFZ145" s="26"/>
      <c r="AGA145" s="26"/>
      <c r="AGB145" s="26"/>
      <c r="AGC145" s="26"/>
      <c r="AGD145" s="26"/>
      <c r="AGE145" s="26"/>
      <c r="AGF145" s="26"/>
      <c r="AGG145" s="26"/>
      <c r="AGH145" s="26"/>
      <c r="AGI145" s="26"/>
      <c r="AGJ145" s="26"/>
      <c r="AGK145" s="26"/>
      <c r="AGL145" s="26"/>
      <c r="AGM145" s="26"/>
      <c r="AGN145" s="26"/>
      <c r="AGO145" s="26"/>
      <c r="AGP145" s="26"/>
      <c r="AGQ145" s="26"/>
      <c r="AGR145" s="26"/>
      <c r="AGS145" s="26"/>
      <c r="AGT145" s="26"/>
      <c r="AGU145" s="26"/>
      <c r="AGV145" s="26"/>
      <c r="AGW145" s="26"/>
      <c r="AGX145" s="26"/>
      <c r="AGY145" s="26"/>
      <c r="AGZ145" s="26"/>
      <c r="AHA145" s="26"/>
      <c r="AHB145" s="26"/>
      <c r="AHC145" s="26"/>
      <c r="AHD145" s="26"/>
      <c r="AHE145" s="26"/>
      <c r="AHF145" s="26"/>
      <c r="AHG145" s="26"/>
      <c r="AHH145" s="26"/>
      <c r="AHI145" s="26"/>
      <c r="AHJ145" s="26"/>
      <c r="AHK145" s="26"/>
      <c r="AHL145" s="26"/>
      <c r="AHM145" s="26"/>
      <c r="AHN145" s="26"/>
      <c r="AHO145" s="26"/>
      <c r="AHP145" s="26"/>
      <c r="AHQ145" s="26"/>
      <c r="AHR145" s="26"/>
      <c r="AHS145" s="26"/>
      <c r="AHT145" s="26"/>
      <c r="AHU145" s="26"/>
      <c r="AHV145" s="26"/>
      <c r="AHW145" s="26"/>
      <c r="AHX145" s="26"/>
      <c r="AHY145" s="26"/>
      <c r="AHZ145" s="26"/>
      <c r="AIA145" s="26"/>
      <c r="AIB145" s="26"/>
      <c r="AIC145" s="26"/>
      <c r="AID145" s="26"/>
      <c r="AIE145" s="26"/>
      <c r="AIF145" s="26"/>
      <c r="AIG145" s="26"/>
      <c r="AIH145" s="26"/>
      <c r="AII145" s="26"/>
      <c r="AIJ145" s="26"/>
      <c r="AIK145" s="26"/>
      <c r="AIL145" s="26"/>
      <c r="AIM145" s="26"/>
      <c r="AIN145" s="26"/>
      <c r="AIO145" s="26"/>
      <c r="AIP145" s="26"/>
      <c r="AIQ145" s="26"/>
      <c r="AIR145" s="26"/>
      <c r="AIS145" s="26"/>
      <c r="AIT145" s="26"/>
      <c r="AIU145" s="26"/>
      <c r="AIV145" s="26"/>
      <c r="AIW145" s="26"/>
      <c r="AIX145" s="26"/>
      <c r="AIY145" s="26"/>
      <c r="AIZ145" s="26"/>
      <c r="AJA145" s="26"/>
      <c r="AJB145" s="26"/>
      <c r="AJC145" s="26"/>
      <c r="AJD145" s="26"/>
      <c r="AJE145" s="26"/>
      <c r="AJF145" s="26"/>
      <c r="AJG145" s="26"/>
      <c r="AJH145" s="26"/>
      <c r="AJI145" s="26"/>
      <c r="AJJ145" s="26"/>
      <c r="AJK145" s="26"/>
      <c r="AJL145" s="26"/>
      <c r="AJM145" s="26"/>
      <c r="AJN145" s="26"/>
      <c r="AJO145" s="26"/>
      <c r="AJP145" s="26"/>
      <c r="AJQ145" s="26"/>
      <c r="AJR145" s="26"/>
      <c r="AJS145" s="26"/>
      <c r="AJT145" s="26"/>
      <c r="AJU145" s="26"/>
      <c r="AJV145" s="26"/>
      <c r="AJW145" s="26"/>
      <c r="AJX145" s="26"/>
      <c r="AJY145" s="26"/>
      <c r="AJZ145" s="26"/>
      <c r="AKA145" s="26"/>
      <c r="AKB145" s="26"/>
      <c r="AKC145" s="26"/>
      <c r="AKD145" s="26"/>
      <c r="AKE145" s="26"/>
      <c r="AKF145" s="26"/>
      <c r="AKG145" s="26"/>
      <c r="AKH145" s="26"/>
      <c r="AKI145" s="26"/>
      <c r="AKJ145" s="26"/>
      <c r="AKK145" s="26"/>
      <c r="AKL145" s="26"/>
      <c r="AKM145" s="26"/>
      <c r="AKN145" s="26"/>
      <c r="AKO145" s="26"/>
      <c r="AKP145" s="26"/>
      <c r="AKQ145" s="26"/>
      <c r="AKR145" s="26"/>
      <c r="AKS145" s="26"/>
      <c r="AKT145" s="26"/>
      <c r="AKU145" s="26"/>
      <c r="AKV145" s="26"/>
      <c r="AKW145" s="26"/>
      <c r="AKX145" s="26"/>
      <c r="AKY145" s="26"/>
      <c r="AKZ145" s="26"/>
      <c r="ALA145" s="26"/>
      <c r="ALB145" s="26"/>
      <c r="ALC145" s="26"/>
      <c r="ALD145" s="26"/>
      <c r="ALE145" s="26"/>
      <c r="ALF145" s="26"/>
      <c r="ALG145" s="26"/>
      <c r="ALH145" s="26"/>
      <c r="ALI145" s="26"/>
      <c r="ALJ145" s="26"/>
      <c r="ALK145" s="26"/>
      <c r="ALL145" s="26"/>
      <c r="ALM145" s="26"/>
      <c r="ALN145" s="26"/>
      <c r="ALO145" s="26"/>
      <c r="ALP145" s="26"/>
      <c r="ALQ145" s="26"/>
      <c r="ALR145" s="26"/>
      <c r="ALS145" s="26"/>
      <c r="ALT145" s="26"/>
      <c r="ALU145" s="26"/>
      <c r="ALV145" s="26"/>
      <c r="ALW145" s="26"/>
      <c r="ALX145" s="26"/>
      <c r="ALY145" s="26"/>
      <c r="ALZ145" s="26"/>
      <c r="AMA145" s="26"/>
      <c r="AMB145" s="26"/>
      <c r="AMC145" s="26"/>
      <c r="AMD145" s="26"/>
      <c r="AME145" s="26"/>
      <c r="AMF145" s="26"/>
      <c r="AMG145" s="26"/>
      <c r="AMH145" s="26"/>
      <c r="AMI145" s="26"/>
      <c r="AMJ145" s="26"/>
    </row>
    <row r="146" spans="1:1024" s="27" customFormat="1" ht="12.75">
      <c r="A146" s="261" t="s">
        <v>290</v>
      </c>
      <c r="B146" s="262"/>
      <c r="C146" s="262"/>
      <c r="D146" s="262"/>
      <c r="E146" s="262"/>
      <c r="F146" s="262"/>
      <c r="G146" s="263"/>
      <c r="H146" s="257">
        <f>SUM(I143:I145)</f>
        <v>9410.8499999999985</v>
      </c>
      <c r="I146" s="258"/>
      <c r="M146" s="244"/>
    </row>
    <row r="147" spans="1:1024" s="27" customFormat="1" ht="12.75">
      <c r="A147" s="73">
        <v>17</v>
      </c>
      <c r="B147" s="271"/>
      <c r="C147" s="272"/>
      <c r="D147" s="287" t="s">
        <v>61</v>
      </c>
      <c r="E147" s="288"/>
      <c r="F147" s="288"/>
      <c r="G147" s="288"/>
      <c r="H147" s="289"/>
      <c r="I147" s="10">
        <f>H163</f>
        <v>99385.47</v>
      </c>
    </row>
    <row r="148" spans="1:1024" s="27" customFormat="1" ht="12.75">
      <c r="A148" s="185" t="s">
        <v>59</v>
      </c>
      <c r="B148" s="61" t="s">
        <v>62</v>
      </c>
      <c r="C148" s="61" t="s">
        <v>12</v>
      </c>
      <c r="D148" s="34" t="s">
        <v>140</v>
      </c>
      <c r="E148" s="186" t="s">
        <v>15</v>
      </c>
      <c r="F148" s="35">
        <f>'MEMÓRIA DE CÁLCULO'!H934</f>
        <v>1.1099999999999999</v>
      </c>
      <c r="G148" s="35">
        <v>202.88</v>
      </c>
      <c r="H148" s="36">
        <f t="shared" ref="H148:H162" si="61">ROUND((G148*$I$10)+G148,2)</f>
        <v>247.98</v>
      </c>
      <c r="I148" s="71">
        <f t="shared" ref="I148:I156" si="62">ROUND(F148*H148,2)</f>
        <v>275.26</v>
      </c>
    </row>
    <row r="149" spans="1:1024" s="27" customFormat="1" ht="12.75">
      <c r="A149" s="231" t="s">
        <v>138</v>
      </c>
      <c r="B149" s="61" t="s">
        <v>141</v>
      </c>
      <c r="C149" s="61" t="s">
        <v>12</v>
      </c>
      <c r="D149" s="34" t="s">
        <v>142</v>
      </c>
      <c r="E149" s="33" t="s">
        <v>15</v>
      </c>
      <c r="F149" s="35">
        <f>'MEMÓRIA DE CÁLCULO'!H941</f>
        <v>15.6815</v>
      </c>
      <c r="G149" s="35">
        <v>298.74</v>
      </c>
      <c r="H149" s="36">
        <f t="shared" si="61"/>
        <v>365.15</v>
      </c>
      <c r="I149" s="71">
        <f t="shared" si="62"/>
        <v>5726.1</v>
      </c>
    </row>
    <row r="150" spans="1:1024" s="28" customFormat="1" ht="25.5">
      <c r="A150" s="231" t="s">
        <v>139</v>
      </c>
      <c r="B150" s="61" t="s">
        <v>63</v>
      </c>
      <c r="C150" s="61" t="s">
        <v>12</v>
      </c>
      <c r="D150" s="184" t="s">
        <v>143</v>
      </c>
      <c r="E150" s="180" t="s">
        <v>15</v>
      </c>
      <c r="F150" s="35">
        <f>'MEMÓRIA DE CÁLCULO'!H951</f>
        <v>12.375</v>
      </c>
      <c r="G150" s="35">
        <v>212.01</v>
      </c>
      <c r="H150" s="36">
        <f t="shared" si="61"/>
        <v>259.14</v>
      </c>
      <c r="I150" s="71">
        <f t="shared" si="62"/>
        <v>3206.86</v>
      </c>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c r="IV150" s="26"/>
      <c r="IW150" s="26"/>
      <c r="IX150" s="26"/>
      <c r="IY150" s="26"/>
      <c r="IZ150" s="26"/>
      <c r="JA150" s="26"/>
      <c r="JB150" s="26"/>
      <c r="JC150" s="26"/>
      <c r="JD150" s="26"/>
      <c r="JE150" s="26"/>
      <c r="JF150" s="26"/>
      <c r="JG150" s="26"/>
      <c r="JH150" s="26"/>
      <c r="JI150" s="26"/>
      <c r="JJ150" s="26"/>
      <c r="JK150" s="26"/>
      <c r="JL150" s="26"/>
      <c r="JM150" s="26"/>
      <c r="JN150" s="26"/>
      <c r="JO150" s="26"/>
      <c r="JP150" s="26"/>
      <c r="JQ150" s="26"/>
      <c r="JR150" s="26"/>
      <c r="JS150" s="26"/>
      <c r="JT150" s="26"/>
      <c r="JU150" s="26"/>
      <c r="JV150" s="26"/>
      <c r="JW150" s="26"/>
      <c r="JX150" s="26"/>
      <c r="JY150" s="26"/>
      <c r="JZ150" s="26"/>
      <c r="KA150" s="26"/>
      <c r="KB150" s="26"/>
      <c r="KC150" s="26"/>
      <c r="KD150" s="26"/>
      <c r="KE150" s="26"/>
      <c r="KF150" s="26"/>
      <c r="KG150" s="26"/>
      <c r="KH150" s="26"/>
      <c r="KI150" s="26"/>
      <c r="KJ150" s="26"/>
      <c r="KK150" s="26"/>
      <c r="KL150" s="26"/>
      <c r="KM150" s="26"/>
      <c r="KN150" s="26"/>
      <c r="KO150" s="26"/>
      <c r="KP150" s="26"/>
      <c r="KQ150" s="26"/>
      <c r="KR150" s="26"/>
      <c r="KS150" s="26"/>
      <c r="KT150" s="26"/>
      <c r="KU150" s="26"/>
      <c r="KV150" s="26"/>
      <c r="KW150" s="26"/>
      <c r="KX150" s="26"/>
      <c r="KY150" s="26"/>
      <c r="KZ150" s="26"/>
      <c r="LA150" s="26"/>
      <c r="LB150" s="26"/>
      <c r="LC150" s="26"/>
      <c r="LD150" s="26"/>
      <c r="LE150" s="26"/>
      <c r="LF150" s="26"/>
      <c r="LG150" s="26"/>
      <c r="LH150" s="26"/>
      <c r="LI150" s="26"/>
      <c r="LJ150" s="26"/>
      <c r="LK150" s="26"/>
      <c r="LL150" s="26"/>
      <c r="LM150" s="26"/>
      <c r="LN150" s="26"/>
      <c r="LO150" s="26"/>
      <c r="LP150" s="26"/>
      <c r="LQ150" s="26"/>
      <c r="LR150" s="26"/>
      <c r="LS150" s="26"/>
      <c r="LT150" s="26"/>
      <c r="LU150" s="26"/>
      <c r="LV150" s="26"/>
      <c r="LW150" s="26"/>
      <c r="LX150" s="26"/>
      <c r="LY150" s="26"/>
      <c r="LZ150" s="26"/>
      <c r="MA150" s="26"/>
      <c r="MB150" s="26"/>
      <c r="MC150" s="26"/>
      <c r="MD150" s="26"/>
      <c r="ME150" s="26"/>
      <c r="MF150" s="26"/>
      <c r="MG150" s="26"/>
      <c r="MH150" s="26"/>
      <c r="MI150" s="26"/>
      <c r="MJ150" s="26"/>
      <c r="MK150" s="26"/>
      <c r="ML150" s="26"/>
      <c r="MM150" s="26"/>
      <c r="MN150" s="26"/>
      <c r="MO150" s="26"/>
      <c r="MP150" s="26"/>
      <c r="MQ150" s="26"/>
      <c r="MR150" s="26"/>
      <c r="MS150" s="26"/>
      <c r="MT150" s="26"/>
      <c r="MU150" s="26"/>
      <c r="MV150" s="26"/>
      <c r="MW150" s="26"/>
      <c r="MX150" s="26"/>
      <c r="MY150" s="26"/>
      <c r="MZ150" s="26"/>
      <c r="NA150" s="26"/>
      <c r="NB150" s="26"/>
      <c r="NC150" s="26"/>
      <c r="ND150" s="26"/>
      <c r="NE150" s="26"/>
      <c r="NF150" s="26"/>
      <c r="NG150" s="26"/>
      <c r="NH150" s="26"/>
      <c r="NI150" s="26"/>
      <c r="NJ150" s="26"/>
      <c r="NK150" s="26"/>
      <c r="NL150" s="26"/>
      <c r="NM150" s="26"/>
      <c r="NN150" s="26"/>
      <c r="NO150" s="26"/>
      <c r="NP150" s="26"/>
      <c r="NQ150" s="26"/>
      <c r="NR150" s="26"/>
      <c r="NS150" s="26"/>
      <c r="NT150" s="26"/>
      <c r="NU150" s="26"/>
      <c r="NV150" s="26"/>
      <c r="NW150" s="26"/>
      <c r="NX150" s="26"/>
      <c r="NY150" s="26"/>
      <c r="NZ150" s="26"/>
      <c r="OA150" s="26"/>
      <c r="OB150" s="26"/>
      <c r="OC150" s="26"/>
      <c r="OD150" s="26"/>
      <c r="OE150" s="26"/>
      <c r="OF150" s="26"/>
      <c r="OG150" s="26"/>
      <c r="OH150" s="26"/>
      <c r="OI150" s="26"/>
      <c r="OJ150" s="26"/>
      <c r="OK150" s="26"/>
      <c r="OL150" s="26"/>
      <c r="OM150" s="26"/>
      <c r="ON150" s="26"/>
      <c r="OO150" s="26"/>
      <c r="OP150" s="26"/>
      <c r="OQ150" s="26"/>
      <c r="OR150" s="26"/>
      <c r="OS150" s="26"/>
      <c r="OT150" s="26"/>
      <c r="OU150" s="26"/>
      <c r="OV150" s="26"/>
      <c r="OW150" s="26"/>
      <c r="OX150" s="26"/>
      <c r="OY150" s="26"/>
      <c r="OZ150" s="26"/>
      <c r="PA150" s="26"/>
      <c r="PB150" s="26"/>
      <c r="PC150" s="26"/>
      <c r="PD150" s="26"/>
      <c r="PE150" s="26"/>
      <c r="PF150" s="26"/>
      <c r="PG150" s="26"/>
      <c r="PH150" s="26"/>
      <c r="PI150" s="26"/>
      <c r="PJ150" s="26"/>
      <c r="PK150" s="26"/>
      <c r="PL150" s="26"/>
      <c r="PM150" s="26"/>
      <c r="PN150" s="26"/>
      <c r="PO150" s="26"/>
      <c r="PP150" s="26"/>
      <c r="PQ150" s="26"/>
      <c r="PR150" s="26"/>
      <c r="PS150" s="26"/>
      <c r="PT150" s="26"/>
      <c r="PU150" s="26"/>
      <c r="PV150" s="26"/>
      <c r="PW150" s="26"/>
      <c r="PX150" s="26"/>
      <c r="PY150" s="26"/>
      <c r="PZ150" s="26"/>
      <c r="QA150" s="26"/>
      <c r="QB150" s="26"/>
      <c r="QC150" s="26"/>
      <c r="QD150" s="26"/>
      <c r="QE150" s="26"/>
      <c r="QF150" s="26"/>
      <c r="QG150" s="26"/>
      <c r="QH150" s="26"/>
      <c r="QI150" s="26"/>
      <c r="QJ150" s="26"/>
      <c r="QK150" s="26"/>
      <c r="QL150" s="26"/>
      <c r="QM150" s="26"/>
      <c r="QN150" s="26"/>
      <c r="QO150" s="26"/>
      <c r="QP150" s="26"/>
      <c r="QQ150" s="26"/>
      <c r="QR150" s="26"/>
      <c r="QS150" s="26"/>
      <c r="QT150" s="26"/>
      <c r="QU150" s="26"/>
      <c r="QV150" s="26"/>
      <c r="QW150" s="26"/>
      <c r="QX150" s="26"/>
      <c r="QY150" s="26"/>
      <c r="QZ150" s="26"/>
      <c r="RA150" s="26"/>
      <c r="RB150" s="26"/>
      <c r="RC150" s="26"/>
      <c r="RD150" s="26"/>
      <c r="RE150" s="26"/>
      <c r="RF150" s="26"/>
      <c r="RG150" s="26"/>
      <c r="RH150" s="26"/>
      <c r="RI150" s="26"/>
      <c r="RJ150" s="26"/>
      <c r="RK150" s="26"/>
      <c r="RL150" s="26"/>
      <c r="RM150" s="26"/>
      <c r="RN150" s="26"/>
      <c r="RO150" s="26"/>
      <c r="RP150" s="26"/>
      <c r="RQ150" s="26"/>
      <c r="RR150" s="26"/>
      <c r="RS150" s="26"/>
      <c r="RT150" s="26"/>
      <c r="RU150" s="26"/>
      <c r="RV150" s="26"/>
      <c r="RW150" s="26"/>
      <c r="RX150" s="26"/>
      <c r="RY150" s="26"/>
      <c r="RZ150" s="26"/>
      <c r="SA150" s="26"/>
      <c r="SB150" s="26"/>
      <c r="SC150" s="26"/>
      <c r="SD150" s="26"/>
      <c r="SE150" s="26"/>
      <c r="SF150" s="26"/>
      <c r="SG150" s="26"/>
      <c r="SH150" s="26"/>
      <c r="SI150" s="26"/>
      <c r="SJ150" s="26"/>
      <c r="SK150" s="26"/>
      <c r="SL150" s="26"/>
      <c r="SM150" s="26"/>
      <c r="SN150" s="26"/>
      <c r="SO150" s="26"/>
      <c r="SP150" s="26"/>
      <c r="SQ150" s="26"/>
      <c r="SR150" s="26"/>
      <c r="SS150" s="26"/>
      <c r="ST150" s="26"/>
      <c r="SU150" s="26"/>
      <c r="SV150" s="26"/>
      <c r="SW150" s="26"/>
      <c r="SX150" s="26"/>
      <c r="SY150" s="26"/>
      <c r="SZ150" s="26"/>
      <c r="TA150" s="26"/>
      <c r="TB150" s="26"/>
      <c r="TC150" s="26"/>
      <c r="TD150" s="26"/>
      <c r="TE150" s="26"/>
      <c r="TF150" s="26"/>
      <c r="TG150" s="26"/>
      <c r="TH150" s="26"/>
      <c r="TI150" s="26"/>
      <c r="TJ150" s="26"/>
      <c r="TK150" s="26"/>
      <c r="TL150" s="26"/>
      <c r="TM150" s="26"/>
      <c r="TN150" s="26"/>
      <c r="TO150" s="26"/>
      <c r="TP150" s="26"/>
      <c r="TQ150" s="26"/>
      <c r="TR150" s="26"/>
      <c r="TS150" s="26"/>
      <c r="TT150" s="26"/>
      <c r="TU150" s="26"/>
      <c r="TV150" s="26"/>
      <c r="TW150" s="26"/>
      <c r="TX150" s="26"/>
      <c r="TY150" s="26"/>
      <c r="TZ150" s="26"/>
      <c r="UA150" s="26"/>
      <c r="UB150" s="26"/>
      <c r="UC150" s="26"/>
      <c r="UD150" s="26"/>
      <c r="UE150" s="26"/>
      <c r="UF150" s="26"/>
      <c r="UG150" s="26"/>
      <c r="UH150" s="26"/>
      <c r="UI150" s="26"/>
      <c r="UJ150" s="26"/>
      <c r="UK150" s="26"/>
      <c r="UL150" s="26"/>
      <c r="UM150" s="26"/>
      <c r="UN150" s="26"/>
      <c r="UO150" s="26"/>
      <c r="UP150" s="26"/>
      <c r="UQ150" s="26"/>
      <c r="UR150" s="26"/>
      <c r="US150" s="26"/>
      <c r="UT150" s="26"/>
      <c r="UU150" s="26"/>
      <c r="UV150" s="26"/>
      <c r="UW150" s="26"/>
      <c r="UX150" s="26"/>
      <c r="UY150" s="26"/>
      <c r="UZ150" s="26"/>
      <c r="VA150" s="26"/>
      <c r="VB150" s="26"/>
      <c r="VC150" s="26"/>
      <c r="VD150" s="26"/>
      <c r="VE150" s="26"/>
      <c r="VF150" s="26"/>
      <c r="VG150" s="26"/>
      <c r="VH150" s="26"/>
      <c r="VI150" s="26"/>
      <c r="VJ150" s="26"/>
      <c r="VK150" s="26"/>
      <c r="VL150" s="26"/>
      <c r="VM150" s="26"/>
      <c r="VN150" s="26"/>
      <c r="VO150" s="26"/>
      <c r="VP150" s="26"/>
      <c r="VQ150" s="26"/>
      <c r="VR150" s="26"/>
      <c r="VS150" s="26"/>
      <c r="VT150" s="26"/>
      <c r="VU150" s="26"/>
      <c r="VV150" s="26"/>
      <c r="VW150" s="26"/>
      <c r="VX150" s="26"/>
      <c r="VY150" s="26"/>
      <c r="VZ150" s="26"/>
      <c r="WA150" s="26"/>
      <c r="WB150" s="26"/>
      <c r="WC150" s="26"/>
      <c r="WD150" s="26"/>
      <c r="WE150" s="26"/>
      <c r="WF150" s="26"/>
      <c r="WG150" s="26"/>
      <c r="WH150" s="26"/>
      <c r="WI150" s="26"/>
      <c r="WJ150" s="26"/>
      <c r="WK150" s="26"/>
      <c r="WL150" s="26"/>
      <c r="WM150" s="26"/>
      <c r="WN150" s="26"/>
      <c r="WO150" s="26"/>
      <c r="WP150" s="26"/>
      <c r="WQ150" s="26"/>
      <c r="WR150" s="26"/>
      <c r="WS150" s="26"/>
      <c r="WT150" s="26"/>
      <c r="WU150" s="26"/>
      <c r="WV150" s="26"/>
      <c r="WW150" s="26"/>
      <c r="WX150" s="26"/>
      <c r="WY150" s="26"/>
      <c r="WZ150" s="26"/>
      <c r="XA150" s="26"/>
      <c r="XB150" s="26"/>
      <c r="XC150" s="26"/>
      <c r="XD150" s="26"/>
      <c r="XE150" s="26"/>
      <c r="XF150" s="26"/>
      <c r="XG150" s="26"/>
      <c r="XH150" s="26"/>
      <c r="XI150" s="26"/>
      <c r="XJ150" s="26"/>
      <c r="XK150" s="26"/>
      <c r="XL150" s="26"/>
      <c r="XM150" s="26"/>
      <c r="XN150" s="26"/>
      <c r="XO150" s="26"/>
      <c r="XP150" s="26"/>
      <c r="XQ150" s="26"/>
      <c r="XR150" s="26"/>
      <c r="XS150" s="26"/>
      <c r="XT150" s="26"/>
      <c r="XU150" s="26"/>
      <c r="XV150" s="26"/>
      <c r="XW150" s="26"/>
      <c r="XX150" s="26"/>
      <c r="XY150" s="26"/>
      <c r="XZ150" s="26"/>
      <c r="YA150" s="26"/>
      <c r="YB150" s="26"/>
      <c r="YC150" s="26"/>
      <c r="YD150" s="26"/>
      <c r="YE150" s="26"/>
      <c r="YF150" s="26"/>
      <c r="YG150" s="26"/>
      <c r="YH150" s="26"/>
      <c r="YI150" s="26"/>
      <c r="YJ150" s="26"/>
      <c r="YK150" s="26"/>
      <c r="YL150" s="26"/>
      <c r="YM150" s="26"/>
      <c r="YN150" s="26"/>
      <c r="YO150" s="26"/>
      <c r="YP150" s="26"/>
      <c r="YQ150" s="26"/>
      <c r="YR150" s="26"/>
      <c r="YS150" s="26"/>
      <c r="YT150" s="26"/>
      <c r="YU150" s="26"/>
      <c r="YV150" s="26"/>
      <c r="YW150" s="26"/>
      <c r="YX150" s="26"/>
      <c r="YY150" s="26"/>
      <c r="YZ150" s="26"/>
      <c r="ZA150" s="26"/>
      <c r="ZB150" s="26"/>
      <c r="ZC150" s="26"/>
      <c r="ZD150" s="26"/>
      <c r="ZE150" s="26"/>
      <c r="ZF150" s="26"/>
      <c r="ZG150" s="26"/>
      <c r="ZH150" s="26"/>
      <c r="ZI150" s="26"/>
      <c r="ZJ150" s="26"/>
      <c r="ZK150" s="26"/>
      <c r="ZL150" s="26"/>
      <c r="ZM150" s="26"/>
      <c r="ZN150" s="26"/>
      <c r="ZO150" s="26"/>
      <c r="ZP150" s="26"/>
      <c r="ZQ150" s="26"/>
      <c r="ZR150" s="26"/>
      <c r="ZS150" s="26"/>
      <c r="ZT150" s="26"/>
      <c r="ZU150" s="26"/>
      <c r="ZV150" s="26"/>
      <c r="ZW150" s="26"/>
      <c r="ZX150" s="26"/>
      <c r="ZY150" s="26"/>
      <c r="ZZ150" s="26"/>
      <c r="AAA150" s="26"/>
      <c r="AAB150" s="26"/>
      <c r="AAC150" s="26"/>
      <c r="AAD150" s="26"/>
      <c r="AAE150" s="26"/>
      <c r="AAF150" s="26"/>
      <c r="AAG150" s="26"/>
      <c r="AAH150" s="26"/>
      <c r="AAI150" s="26"/>
      <c r="AAJ150" s="26"/>
      <c r="AAK150" s="26"/>
      <c r="AAL150" s="26"/>
      <c r="AAM150" s="26"/>
      <c r="AAN150" s="26"/>
      <c r="AAO150" s="26"/>
      <c r="AAP150" s="26"/>
      <c r="AAQ150" s="26"/>
      <c r="AAR150" s="26"/>
      <c r="AAS150" s="26"/>
      <c r="AAT150" s="26"/>
      <c r="AAU150" s="26"/>
      <c r="AAV150" s="26"/>
      <c r="AAW150" s="26"/>
      <c r="AAX150" s="26"/>
      <c r="AAY150" s="26"/>
      <c r="AAZ150" s="26"/>
      <c r="ABA150" s="26"/>
      <c r="ABB150" s="26"/>
      <c r="ABC150" s="26"/>
      <c r="ABD150" s="26"/>
      <c r="ABE150" s="26"/>
      <c r="ABF150" s="26"/>
      <c r="ABG150" s="26"/>
      <c r="ABH150" s="26"/>
      <c r="ABI150" s="26"/>
      <c r="ABJ150" s="26"/>
      <c r="ABK150" s="26"/>
      <c r="ABL150" s="26"/>
      <c r="ABM150" s="26"/>
      <c r="ABN150" s="26"/>
      <c r="ABO150" s="26"/>
      <c r="ABP150" s="26"/>
      <c r="ABQ150" s="26"/>
      <c r="ABR150" s="26"/>
      <c r="ABS150" s="26"/>
      <c r="ABT150" s="26"/>
      <c r="ABU150" s="26"/>
      <c r="ABV150" s="26"/>
      <c r="ABW150" s="26"/>
      <c r="ABX150" s="26"/>
      <c r="ABY150" s="26"/>
      <c r="ABZ150" s="26"/>
      <c r="ACA150" s="26"/>
      <c r="ACB150" s="26"/>
      <c r="ACC150" s="26"/>
      <c r="ACD150" s="26"/>
      <c r="ACE150" s="26"/>
      <c r="ACF150" s="26"/>
      <c r="ACG150" s="26"/>
      <c r="ACH150" s="26"/>
      <c r="ACI150" s="26"/>
      <c r="ACJ150" s="26"/>
      <c r="ACK150" s="26"/>
      <c r="ACL150" s="26"/>
      <c r="ACM150" s="26"/>
      <c r="ACN150" s="26"/>
      <c r="ACO150" s="26"/>
      <c r="ACP150" s="26"/>
      <c r="ACQ150" s="26"/>
      <c r="ACR150" s="26"/>
      <c r="ACS150" s="26"/>
      <c r="ACT150" s="26"/>
      <c r="ACU150" s="26"/>
      <c r="ACV150" s="26"/>
      <c r="ACW150" s="26"/>
      <c r="ACX150" s="26"/>
      <c r="ACY150" s="26"/>
      <c r="ACZ150" s="26"/>
      <c r="ADA150" s="26"/>
      <c r="ADB150" s="26"/>
      <c r="ADC150" s="26"/>
      <c r="ADD150" s="26"/>
      <c r="ADE150" s="26"/>
      <c r="ADF150" s="26"/>
      <c r="ADG150" s="26"/>
      <c r="ADH150" s="26"/>
      <c r="ADI150" s="26"/>
      <c r="ADJ150" s="26"/>
      <c r="ADK150" s="26"/>
      <c r="ADL150" s="26"/>
      <c r="ADM150" s="26"/>
      <c r="ADN150" s="26"/>
      <c r="ADO150" s="26"/>
      <c r="ADP150" s="26"/>
      <c r="ADQ150" s="26"/>
      <c r="ADR150" s="26"/>
      <c r="ADS150" s="26"/>
      <c r="ADT150" s="26"/>
      <c r="ADU150" s="26"/>
      <c r="ADV150" s="26"/>
      <c r="ADW150" s="26"/>
      <c r="ADX150" s="26"/>
      <c r="ADY150" s="26"/>
      <c r="ADZ150" s="26"/>
      <c r="AEA150" s="26"/>
      <c r="AEB150" s="26"/>
      <c r="AEC150" s="26"/>
      <c r="AED150" s="26"/>
      <c r="AEE150" s="26"/>
      <c r="AEF150" s="26"/>
      <c r="AEG150" s="26"/>
      <c r="AEH150" s="26"/>
      <c r="AEI150" s="26"/>
      <c r="AEJ150" s="26"/>
      <c r="AEK150" s="26"/>
      <c r="AEL150" s="26"/>
      <c r="AEM150" s="26"/>
      <c r="AEN150" s="26"/>
      <c r="AEO150" s="26"/>
      <c r="AEP150" s="26"/>
      <c r="AEQ150" s="26"/>
      <c r="AER150" s="26"/>
      <c r="AES150" s="26"/>
      <c r="AET150" s="26"/>
      <c r="AEU150" s="26"/>
      <c r="AEV150" s="26"/>
      <c r="AEW150" s="26"/>
      <c r="AEX150" s="26"/>
      <c r="AEY150" s="26"/>
      <c r="AEZ150" s="26"/>
      <c r="AFA150" s="26"/>
      <c r="AFB150" s="26"/>
      <c r="AFC150" s="26"/>
      <c r="AFD150" s="26"/>
      <c r="AFE150" s="26"/>
      <c r="AFF150" s="26"/>
      <c r="AFG150" s="26"/>
      <c r="AFH150" s="26"/>
      <c r="AFI150" s="26"/>
      <c r="AFJ150" s="26"/>
      <c r="AFK150" s="26"/>
      <c r="AFL150" s="26"/>
      <c r="AFM150" s="26"/>
      <c r="AFN150" s="26"/>
      <c r="AFO150" s="26"/>
      <c r="AFP150" s="26"/>
      <c r="AFQ150" s="26"/>
      <c r="AFR150" s="26"/>
      <c r="AFS150" s="26"/>
      <c r="AFT150" s="26"/>
      <c r="AFU150" s="26"/>
      <c r="AFV150" s="26"/>
      <c r="AFW150" s="26"/>
      <c r="AFX150" s="26"/>
      <c r="AFY150" s="26"/>
      <c r="AFZ150" s="26"/>
      <c r="AGA150" s="26"/>
      <c r="AGB150" s="26"/>
      <c r="AGC150" s="26"/>
      <c r="AGD150" s="26"/>
      <c r="AGE150" s="26"/>
      <c r="AGF150" s="26"/>
      <c r="AGG150" s="26"/>
      <c r="AGH150" s="26"/>
      <c r="AGI150" s="26"/>
      <c r="AGJ150" s="26"/>
      <c r="AGK150" s="26"/>
      <c r="AGL150" s="26"/>
      <c r="AGM150" s="26"/>
      <c r="AGN150" s="26"/>
      <c r="AGO150" s="26"/>
      <c r="AGP150" s="26"/>
      <c r="AGQ150" s="26"/>
      <c r="AGR150" s="26"/>
      <c r="AGS150" s="26"/>
      <c r="AGT150" s="26"/>
      <c r="AGU150" s="26"/>
      <c r="AGV150" s="26"/>
      <c r="AGW150" s="26"/>
      <c r="AGX150" s="26"/>
      <c r="AGY150" s="26"/>
      <c r="AGZ150" s="26"/>
      <c r="AHA150" s="26"/>
      <c r="AHB150" s="26"/>
      <c r="AHC150" s="26"/>
      <c r="AHD150" s="26"/>
      <c r="AHE150" s="26"/>
      <c r="AHF150" s="26"/>
      <c r="AHG150" s="26"/>
      <c r="AHH150" s="26"/>
      <c r="AHI150" s="26"/>
      <c r="AHJ150" s="26"/>
      <c r="AHK150" s="26"/>
      <c r="AHL150" s="26"/>
      <c r="AHM150" s="26"/>
      <c r="AHN150" s="26"/>
      <c r="AHO150" s="26"/>
      <c r="AHP150" s="26"/>
      <c r="AHQ150" s="26"/>
      <c r="AHR150" s="26"/>
      <c r="AHS150" s="26"/>
      <c r="AHT150" s="26"/>
      <c r="AHU150" s="26"/>
      <c r="AHV150" s="26"/>
      <c r="AHW150" s="26"/>
      <c r="AHX150" s="26"/>
      <c r="AHY150" s="26"/>
      <c r="AHZ150" s="26"/>
      <c r="AIA150" s="26"/>
      <c r="AIB150" s="26"/>
      <c r="AIC150" s="26"/>
      <c r="AID150" s="26"/>
      <c r="AIE150" s="26"/>
      <c r="AIF150" s="26"/>
      <c r="AIG150" s="26"/>
      <c r="AIH150" s="26"/>
      <c r="AII150" s="26"/>
      <c r="AIJ150" s="26"/>
      <c r="AIK150" s="26"/>
      <c r="AIL150" s="26"/>
      <c r="AIM150" s="26"/>
      <c r="AIN150" s="26"/>
      <c r="AIO150" s="26"/>
      <c r="AIP150" s="26"/>
      <c r="AIQ150" s="26"/>
      <c r="AIR150" s="26"/>
      <c r="AIS150" s="26"/>
      <c r="AIT150" s="26"/>
      <c r="AIU150" s="26"/>
      <c r="AIV150" s="26"/>
      <c r="AIW150" s="26"/>
      <c r="AIX150" s="26"/>
      <c r="AIY150" s="26"/>
      <c r="AIZ150" s="26"/>
      <c r="AJA150" s="26"/>
      <c r="AJB150" s="26"/>
      <c r="AJC150" s="26"/>
      <c r="AJD150" s="26"/>
      <c r="AJE150" s="26"/>
      <c r="AJF150" s="26"/>
      <c r="AJG150" s="26"/>
      <c r="AJH150" s="26"/>
      <c r="AJI150" s="26"/>
      <c r="AJJ150" s="26"/>
      <c r="AJK150" s="26"/>
      <c r="AJL150" s="26"/>
      <c r="AJM150" s="26"/>
      <c r="AJN150" s="26"/>
      <c r="AJO150" s="26"/>
      <c r="AJP150" s="26"/>
      <c r="AJQ150" s="26"/>
      <c r="AJR150" s="26"/>
      <c r="AJS150" s="26"/>
      <c r="AJT150" s="26"/>
      <c r="AJU150" s="26"/>
      <c r="AJV150" s="26"/>
      <c r="AJW150" s="26"/>
      <c r="AJX150" s="26"/>
      <c r="AJY150" s="26"/>
      <c r="AJZ150" s="26"/>
      <c r="AKA150" s="26"/>
      <c r="AKB150" s="26"/>
      <c r="AKC150" s="26"/>
      <c r="AKD150" s="26"/>
      <c r="AKE150" s="26"/>
      <c r="AKF150" s="26"/>
      <c r="AKG150" s="26"/>
      <c r="AKH150" s="26"/>
      <c r="AKI150" s="26"/>
      <c r="AKJ150" s="26"/>
      <c r="AKK150" s="26"/>
      <c r="AKL150" s="26"/>
      <c r="AKM150" s="26"/>
      <c r="AKN150" s="26"/>
      <c r="AKO150" s="26"/>
      <c r="AKP150" s="26"/>
      <c r="AKQ150" s="26"/>
      <c r="AKR150" s="26"/>
      <c r="AKS150" s="26"/>
      <c r="AKT150" s="26"/>
      <c r="AKU150" s="26"/>
      <c r="AKV150" s="26"/>
      <c r="AKW150" s="26"/>
      <c r="AKX150" s="26"/>
      <c r="AKY150" s="26"/>
      <c r="AKZ150" s="26"/>
      <c r="ALA150" s="26"/>
      <c r="ALB150" s="26"/>
      <c r="ALC150" s="26"/>
      <c r="ALD150" s="26"/>
      <c r="ALE150" s="26"/>
      <c r="ALF150" s="26"/>
      <c r="ALG150" s="26"/>
      <c r="ALH150" s="26"/>
      <c r="ALI150" s="26"/>
      <c r="ALJ150" s="26"/>
      <c r="ALK150" s="26"/>
      <c r="ALL150" s="26"/>
      <c r="ALM150" s="26"/>
      <c r="ALN150" s="26"/>
      <c r="ALO150" s="26"/>
      <c r="ALP150" s="26"/>
      <c r="ALQ150" s="26"/>
      <c r="ALR150" s="26"/>
      <c r="ALS150" s="26"/>
      <c r="ALT150" s="26"/>
      <c r="ALU150" s="26"/>
      <c r="ALV150" s="26"/>
      <c r="ALW150" s="26"/>
      <c r="ALX150" s="26"/>
      <c r="ALY150" s="26"/>
      <c r="ALZ150" s="26"/>
      <c r="AMA150" s="26"/>
      <c r="AMB150" s="26"/>
      <c r="AMC150" s="26"/>
      <c r="AMD150" s="26"/>
      <c r="AME150" s="26"/>
      <c r="AMF150" s="26"/>
      <c r="AMG150" s="26"/>
      <c r="AMH150" s="26"/>
      <c r="AMI150" s="26"/>
      <c r="AMJ150" s="26"/>
    </row>
    <row r="151" spans="1:1024" s="167" customFormat="1" ht="25.5">
      <c r="A151" s="231" t="s">
        <v>161</v>
      </c>
      <c r="B151" s="61" t="s">
        <v>224</v>
      </c>
      <c r="C151" s="61" t="s">
        <v>12</v>
      </c>
      <c r="D151" s="24" t="s">
        <v>225</v>
      </c>
      <c r="E151" s="146" t="s">
        <v>15</v>
      </c>
      <c r="F151" s="35">
        <f>'MEMÓRIA DE CÁLCULO'!H955</f>
        <v>9.0240000000000009</v>
      </c>
      <c r="G151" s="35">
        <v>547.03</v>
      </c>
      <c r="H151" s="36">
        <f t="shared" si="61"/>
        <v>668.63</v>
      </c>
      <c r="I151" s="71">
        <f t="shared" si="62"/>
        <v>6033.72</v>
      </c>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166"/>
      <c r="CF151" s="166"/>
      <c r="CG151" s="166"/>
      <c r="CH151" s="166"/>
      <c r="CI151" s="166"/>
      <c r="CJ151" s="166"/>
      <c r="CK151" s="166"/>
      <c r="CL151" s="166"/>
      <c r="CM151" s="166"/>
      <c r="CN151" s="166"/>
      <c r="CO151" s="166"/>
      <c r="CP151" s="166"/>
      <c r="CQ151" s="166"/>
      <c r="CR151" s="166"/>
      <c r="CS151" s="166"/>
      <c r="CT151" s="166"/>
      <c r="CU151" s="166"/>
      <c r="CV151" s="166"/>
      <c r="CW151" s="166"/>
      <c r="CX151" s="166"/>
      <c r="CY151" s="166"/>
      <c r="CZ151" s="166"/>
      <c r="DA151" s="166"/>
      <c r="DB151" s="166"/>
      <c r="DC151" s="166"/>
      <c r="DD151" s="166"/>
      <c r="DE151" s="166"/>
      <c r="DF151" s="166"/>
      <c r="DG151" s="166"/>
      <c r="DH151" s="166"/>
      <c r="DI151" s="166"/>
      <c r="DJ151" s="166"/>
      <c r="DK151" s="166"/>
      <c r="DL151" s="166"/>
      <c r="DM151" s="166"/>
      <c r="DN151" s="166"/>
      <c r="DO151" s="166"/>
      <c r="DP151" s="166"/>
      <c r="DQ151" s="166"/>
      <c r="DR151" s="166"/>
      <c r="DS151" s="166"/>
      <c r="DT151" s="166"/>
      <c r="DU151" s="166"/>
      <c r="DV151" s="166"/>
      <c r="DW151" s="166"/>
      <c r="DX151" s="166"/>
      <c r="DY151" s="166"/>
      <c r="DZ151" s="166"/>
      <c r="EA151" s="166"/>
      <c r="EB151" s="166"/>
      <c r="EC151" s="166"/>
      <c r="ED151" s="166"/>
      <c r="EE151" s="166"/>
      <c r="EF151" s="166"/>
      <c r="EG151" s="166"/>
      <c r="EH151" s="166"/>
      <c r="EI151" s="166"/>
      <c r="EJ151" s="166"/>
      <c r="EK151" s="166"/>
      <c r="EL151" s="166"/>
      <c r="EM151" s="166"/>
      <c r="EN151" s="166"/>
      <c r="EO151" s="166"/>
      <c r="EP151" s="166"/>
      <c r="EQ151" s="166"/>
      <c r="ER151" s="166"/>
      <c r="ES151" s="166"/>
      <c r="ET151" s="166"/>
      <c r="EU151" s="166"/>
      <c r="EV151" s="166"/>
      <c r="EW151" s="166"/>
      <c r="EX151" s="166"/>
      <c r="EY151" s="166"/>
      <c r="EZ151" s="166"/>
      <c r="FA151" s="166"/>
      <c r="FB151" s="166"/>
      <c r="FC151" s="166"/>
      <c r="FD151" s="166"/>
      <c r="FE151" s="166"/>
      <c r="FF151" s="166"/>
      <c r="FG151" s="166"/>
      <c r="FH151" s="166"/>
      <c r="FI151" s="166"/>
      <c r="FJ151" s="166"/>
      <c r="FK151" s="166"/>
      <c r="FL151" s="166"/>
      <c r="FM151" s="166"/>
      <c r="FN151" s="166"/>
      <c r="FO151" s="166"/>
      <c r="FP151" s="166"/>
      <c r="FQ151" s="166"/>
      <c r="FR151" s="166"/>
      <c r="FS151" s="166"/>
      <c r="FT151" s="166"/>
      <c r="FU151" s="166"/>
      <c r="FV151" s="166"/>
      <c r="FW151" s="166"/>
      <c r="FX151" s="166"/>
      <c r="FY151" s="166"/>
      <c r="FZ151" s="166"/>
      <c r="GA151" s="166"/>
      <c r="GB151" s="166"/>
      <c r="GC151" s="166"/>
      <c r="GD151" s="166"/>
      <c r="GE151" s="166"/>
      <c r="GF151" s="166"/>
      <c r="GG151" s="166"/>
      <c r="GH151" s="166"/>
      <c r="GI151" s="166"/>
      <c r="GJ151" s="166"/>
      <c r="GK151" s="166"/>
      <c r="GL151" s="166"/>
      <c r="GM151" s="166"/>
      <c r="GN151" s="166"/>
      <c r="GO151" s="166"/>
      <c r="GP151" s="166"/>
      <c r="GQ151" s="166"/>
      <c r="GR151" s="166"/>
      <c r="GS151" s="166"/>
      <c r="GT151" s="166"/>
      <c r="GU151" s="166"/>
      <c r="GV151" s="166"/>
      <c r="GW151" s="166"/>
      <c r="GX151" s="166"/>
      <c r="GY151" s="166"/>
      <c r="GZ151" s="166"/>
      <c r="HA151" s="166"/>
      <c r="HB151" s="166"/>
      <c r="HC151" s="166"/>
      <c r="HD151" s="166"/>
      <c r="HE151" s="166"/>
      <c r="HF151" s="166"/>
      <c r="HG151" s="166"/>
      <c r="HH151" s="166"/>
      <c r="HI151" s="166"/>
      <c r="HJ151" s="166"/>
      <c r="HK151" s="166"/>
      <c r="HL151" s="166"/>
      <c r="HM151" s="166"/>
      <c r="HN151" s="166"/>
      <c r="HO151" s="166"/>
      <c r="HP151" s="166"/>
      <c r="HQ151" s="166"/>
      <c r="HR151" s="166"/>
      <c r="HS151" s="166"/>
      <c r="HT151" s="166"/>
      <c r="HU151" s="166"/>
      <c r="HV151" s="166"/>
      <c r="HW151" s="166"/>
      <c r="HX151" s="166"/>
      <c r="HY151" s="166"/>
      <c r="HZ151" s="166"/>
      <c r="IA151" s="166"/>
      <c r="IB151" s="166"/>
      <c r="IC151" s="166"/>
      <c r="ID151" s="166"/>
      <c r="IE151" s="166"/>
      <c r="IF151" s="166"/>
      <c r="IG151" s="166"/>
      <c r="IH151" s="166"/>
      <c r="II151" s="166"/>
      <c r="IJ151" s="166"/>
      <c r="IK151" s="166"/>
      <c r="IL151" s="166"/>
      <c r="IM151" s="166"/>
      <c r="IN151" s="166"/>
      <c r="IO151" s="166"/>
      <c r="IP151" s="166"/>
      <c r="IQ151" s="166"/>
      <c r="IR151" s="166"/>
      <c r="IS151" s="166"/>
      <c r="IT151" s="166"/>
      <c r="IU151" s="166"/>
      <c r="IV151" s="166"/>
      <c r="IW151" s="166"/>
      <c r="IX151" s="166"/>
      <c r="IY151" s="166"/>
      <c r="IZ151" s="166"/>
      <c r="JA151" s="166"/>
      <c r="JB151" s="166"/>
      <c r="JC151" s="166"/>
      <c r="JD151" s="166"/>
      <c r="JE151" s="166"/>
      <c r="JF151" s="166"/>
      <c r="JG151" s="166"/>
      <c r="JH151" s="166"/>
      <c r="JI151" s="166"/>
      <c r="JJ151" s="166"/>
      <c r="JK151" s="166"/>
      <c r="JL151" s="166"/>
      <c r="JM151" s="166"/>
      <c r="JN151" s="166"/>
      <c r="JO151" s="166"/>
      <c r="JP151" s="166"/>
      <c r="JQ151" s="166"/>
      <c r="JR151" s="166"/>
      <c r="JS151" s="166"/>
      <c r="JT151" s="166"/>
      <c r="JU151" s="166"/>
      <c r="JV151" s="166"/>
      <c r="JW151" s="166"/>
      <c r="JX151" s="166"/>
      <c r="JY151" s="166"/>
      <c r="JZ151" s="166"/>
      <c r="KA151" s="166"/>
      <c r="KB151" s="166"/>
      <c r="KC151" s="166"/>
      <c r="KD151" s="166"/>
      <c r="KE151" s="166"/>
      <c r="KF151" s="166"/>
      <c r="KG151" s="166"/>
      <c r="KH151" s="166"/>
      <c r="KI151" s="166"/>
      <c r="KJ151" s="166"/>
      <c r="KK151" s="166"/>
      <c r="KL151" s="166"/>
      <c r="KM151" s="166"/>
      <c r="KN151" s="166"/>
      <c r="KO151" s="166"/>
      <c r="KP151" s="166"/>
      <c r="KQ151" s="166"/>
      <c r="KR151" s="166"/>
      <c r="KS151" s="166"/>
      <c r="KT151" s="166"/>
      <c r="KU151" s="166"/>
      <c r="KV151" s="166"/>
      <c r="KW151" s="166"/>
      <c r="KX151" s="166"/>
      <c r="KY151" s="166"/>
      <c r="KZ151" s="166"/>
      <c r="LA151" s="166"/>
      <c r="LB151" s="166"/>
      <c r="LC151" s="166"/>
      <c r="LD151" s="166"/>
      <c r="LE151" s="166"/>
      <c r="LF151" s="166"/>
      <c r="LG151" s="166"/>
      <c r="LH151" s="166"/>
      <c r="LI151" s="166"/>
      <c r="LJ151" s="166"/>
      <c r="LK151" s="166"/>
      <c r="LL151" s="166"/>
      <c r="LM151" s="166"/>
      <c r="LN151" s="166"/>
      <c r="LO151" s="166"/>
      <c r="LP151" s="166"/>
      <c r="LQ151" s="166"/>
      <c r="LR151" s="166"/>
      <c r="LS151" s="166"/>
      <c r="LT151" s="166"/>
      <c r="LU151" s="166"/>
      <c r="LV151" s="166"/>
      <c r="LW151" s="166"/>
      <c r="LX151" s="166"/>
      <c r="LY151" s="166"/>
      <c r="LZ151" s="166"/>
      <c r="MA151" s="166"/>
      <c r="MB151" s="166"/>
      <c r="MC151" s="166"/>
      <c r="MD151" s="166"/>
      <c r="ME151" s="166"/>
      <c r="MF151" s="166"/>
      <c r="MG151" s="166"/>
      <c r="MH151" s="166"/>
      <c r="MI151" s="166"/>
      <c r="MJ151" s="166"/>
      <c r="MK151" s="166"/>
      <c r="ML151" s="166"/>
      <c r="MM151" s="166"/>
      <c r="MN151" s="166"/>
      <c r="MO151" s="166"/>
      <c r="MP151" s="166"/>
      <c r="MQ151" s="166"/>
      <c r="MR151" s="166"/>
      <c r="MS151" s="166"/>
      <c r="MT151" s="166"/>
      <c r="MU151" s="166"/>
      <c r="MV151" s="166"/>
      <c r="MW151" s="166"/>
      <c r="MX151" s="166"/>
      <c r="MY151" s="166"/>
      <c r="MZ151" s="166"/>
      <c r="NA151" s="166"/>
      <c r="NB151" s="166"/>
      <c r="NC151" s="166"/>
      <c r="ND151" s="166"/>
      <c r="NE151" s="166"/>
      <c r="NF151" s="166"/>
      <c r="NG151" s="166"/>
      <c r="NH151" s="166"/>
      <c r="NI151" s="166"/>
      <c r="NJ151" s="166"/>
      <c r="NK151" s="166"/>
      <c r="NL151" s="166"/>
      <c r="NM151" s="166"/>
      <c r="NN151" s="166"/>
      <c r="NO151" s="166"/>
      <c r="NP151" s="166"/>
      <c r="NQ151" s="166"/>
      <c r="NR151" s="166"/>
      <c r="NS151" s="166"/>
      <c r="NT151" s="166"/>
      <c r="NU151" s="166"/>
      <c r="NV151" s="166"/>
      <c r="NW151" s="166"/>
      <c r="NX151" s="166"/>
      <c r="NY151" s="166"/>
      <c r="NZ151" s="166"/>
      <c r="OA151" s="166"/>
      <c r="OB151" s="166"/>
      <c r="OC151" s="166"/>
      <c r="OD151" s="166"/>
      <c r="OE151" s="166"/>
      <c r="OF151" s="166"/>
      <c r="OG151" s="166"/>
      <c r="OH151" s="166"/>
      <c r="OI151" s="166"/>
      <c r="OJ151" s="166"/>
      <c r="OK151" s="166"/>
      <c r="OL151" s="166"/>
      <c r="OM151" s="166"/>
      <c r="ON151" s="166"/>
      <c r="OO151" s="166"/>
      <c r="OP151" s="166"/>
      <c r="OQ151" s="166"/>
      <c r="OR151" s="166"/>
      <c r="OS151" s="166"/>
      <c r="OT151" s="166"/>
      <c r="OU151" s="166"/>
      <c r="OV151" s="166"/>
      <c r="OW151" s="166"/>
      <c r="OX151" s="166"/>
      <c r="OY151" s="166"/>
      <c r="OZ151" s="166"/>
      <c r="PA151" s="166"/>
      <c r="PB151" s="166"/>
      <c r="PC151" s="166"/>
      <c r="PD151" s="166"/>
      <c r="PE151" s="166"/>
      <c r="PF151" s="166"/>
      <c r="PG151" s="166"/>
      <c r="PH151" s="166"/>
      <c r="PI151" s="166"/>
      <c r="PJ151" s="166"/>
      <c r="PK151" s="166"/>
      <c r="PL151" s="166"/>
      <c r="PM151" s="166"/>
      <c r="PN151" s="166"/>
      <c r="PO151" s="166"/>
      <c r="PP151" s="166"/>
      <c r="PQ151" s="166"/>
      <c r="PR151" s="166"/>
      <c r="PS151" s="166"/>
      <c r="PT151" s="166"/>
      <c r="PU151" s="166"/>
      <c r="PV151" s="166"/>
      <c r="PW151" s="166"/>
      <c r="PX151" s="166"/>
      <c r="PY151" s="166"/>
      <c r="PZ151" s="166"/>
      <c r="QA151" s="166"/>
      <c r="QB151" s="166"/>
      <c r="QC151" s="166"/>
      <c r="QD151" s="166"/>
      <c r="QE151" s="166"/>
      <c r="QF151" s="166"/>
      <c r="QG151" s="166"/>
      <c r="QH151" s="166"/>
      <c r="QI151" s="166"/>
      <c r="QJ151" s="166"/>
      <c r="QK151" s="166"/>
      <c r="QL151" s="166"/>
      <c r="QM151" s="166"/>
      <c r="QN151" s="166"/>
      <c r="QO151" s="166"/>
      <c r="QP151" s="166"/>
      <c r="QQ151" s="166"/>
      <c r="QR151" s="166"/>
      <c r="QS151" s="166"/>
      <c r="QT151" s="166"/>
      <c r="QU151" s="166"/>
      <c r="QV151" s="166"/>
      <c r="QW151" s="166"/>
      <c r="QX151" s="166"/>
      <c r="QY151" s="166"/>
      <c r="QZ151" s="166"/>
      <c r="RA151" s="166"/>
      <c r="RB151" s="166"/>
      <c r="RC151" s="166"/>
      <c r="RD151" s="166"/>
      <c r="RE151" s="166"/>
      <c r="RF151" s="166"/>
      <c r="RG151" s="166"/>
      <c r="RH151" s="166"/>
      <c r="RI151" s="166"/>
      <c r="RJ151" s="166"/>
      <c r="RK151" s="166"/>
      <c r="RL151" s="166"/>
      <c r="RM151" s="166"/>
      <c r="RN151" s="166"/>
      <c r="RO151" s="166"/>
      <c r="RP151" s="166"/>
      <c r="RQ151" s="166"/>
      <c r="RR151" s="166"/>
      <c r="RS151" s="166"/>
      <c r="RT151" s="166"/>
      <c r="RU151" s="166"/>
      <c r="RV151" s="166"/>
      <c r="RW151" s="166"/>
      <c r="RX151" s="166"/>
      <c r="RY151" s="166"/>
      <c r="RZ151" s="166"/>
      <c r="SA151" s="166"/>
      <c r="SB151" s="166"/>
      <c r="SC151" s="166"/>
      <c r="SD151" s="166"/>
      <c r="SE151" s="166"/>
      <c r="SF151" s="166"/>
      <c r="SG151" s="166"/>
      <c r="SH151" s="166"/>
      <c r="SI151" s="166"/>
      <c r="SJ151" s="166"/>
      <c r="SK151" s="166"/>
      <c r="SL151" s="166"/>
      <c r="SM151" s="166"/>
      <c r="SN151" s="166"/>
      <c r="SO151" s="166"/>
      <c r="SP151" s="166"/>
      <c r="SQ151" s="166"/>
      <c r="SR151" s="166"/>
      <c r="SS151" s="166"/>
      <c r="ST151" s="166"/>
      <c r="SU151" s="166"/>
      <c r="SV151" s="166"/>
      <c r="SW151" s="166"/>
      <c r="SX151" s="166"/>
      <c r="SY151" s="166"/>
      <c r="SZ151" s="166"/>
      <c r="TA151" s="166"/>
      <c r="TB151" s="166"/>
      <c r="TC151" s="166"/>
      <c r="TD151" s="166"/>
      <c r="TE151" s="166"/>
      <c r="TF151" s="166"/>
      <c r="TG151" s="166"/>
      <c r="TH151" s="166"/>
      <c r="TI151" s="166"/>
      <c r="TJ151" s="166"/>
      <c r="TK151" s="166"/>
      <c r="TL151" s="166"/>
      <c r="TM151" s="166"/>
      <c r="TN151" s="166"/>
      <c r="TO151" s="166"/>
      <c r="TP151" s="166"/>
      <c r="TQ151" s="166"/>
      <c r="TR151" s="166"/>
      <c r="TS151" s="166"/>
      <c r="TT151" s="166"/>
      <c r="TU151" s="166"/>
      <c r="TV151" s="166"/>
      <c r="TW151" s="166"/>
      <c r="TX151" s="166"/>
      <c r="TY151" s="166"/>
      <c r="TZ151" s="166"/>
      <c r="UA151" s="166"/>
      <c r="UB151" s="166"/>
      <c r="UC151" s="166"/>
      <c r="UD151" s="166"/>
      <c r="UE151" s="166"/>
      <c r="UF151" s="166"/>
      <c r="UG151" s="166"/>
      <c r="UH151" s="166"/>
      <c r="UI151" s="166"/>
      <c r="UJ151" s="166"/>
      <c r="UK151" s="166"/>
      <c r="UL151" s="166"/>
      <c r="UM151" s="166"/>
      <c r="UN151" s="166"/>
      <c r="UO151" s="166"/>
      <c r="UP151" s="166"/>
      <c r="UQ151" s="166"/>
      <c r="UR151" s="166"/>
      <c r="US151" s="166"/>
      <c r="UT151" s="166"/>
      <c r="UU151" s="166"/>
      <c r="UV151" s="166"/>
      <c r="UW151" s="166"/>
      <c r="UX151" s="166"/>
      <c r="UY151" s="166"/>
      <c r="UZ151" s="166"/>
      <c r="VA151" s="166"/>
      <c r="VB151" s="166"/>
      <c r="VC151" s="166"/>
      <c r="VD151" s="166"/>
      <c r="VE151" s="166"/>
      <c r="VF151" s="166"/>
      <c r="VG151" s="166"/>
      <c r="VH151" s="166"/>
      <c r="VI151" s="166"/>
      <c r="VJ151" s="166"/>
      <c r="VK151" s="166"/>
      <c r="VL151" s="166"/>
      <c r="VM151" s="166"/>
      <c r="VN151" s="166"/>
      <c r="VO151" s="166"/>
      <c r="VP151" s="166"/>
      <c r="VQ151" s="166"/>
      <c r="VR151" s="166"/>
      <c r="VS151" s="166"/>
      <c r="VT151" s="166"/>
      <c r="VU151" s="166"/>
      <c r="VV151" s="166"/>
      <c r="VW151" s="166"/>
      <c r="VX151" s="166"/>
      <c r="VY151" s="166"/>
      <c r="VZ151" s="166"/>
      <c r="WA151" s="166"/>
      <c r="WB151" s="166"/>
      <c r="WC151" s="166"/>
      <c r="WD151" s="166"/>
      <c r="WE151" s="166"/>
      <c r="WF151" s="166"/>
      <c r="WG151" s="166"/>
      <c r="WH151" s="166"/>
      <c r="WI151" s="166"/>
      <c r="WJ151" s="166"/>
      <c r="WK151" s="166"/>
      <c r="WL151" s="166"/>
      <c r="WM151" s="166"/>
      <c r="WN151" s="166"/>
      <c r="WO151" s="166"/>
      <c r="WP151" s="166"/>
      <c r="WQ151" s="166"/>
      <c r="WR151" s="166"/>
      <c r="WS151" s="166"/>
      <c r="WT151" s="166"/>
      <c r="WU151" s="166"/>
      <c r="WV151" s="166"/>
      <c r="WW151" s="166"/>
      <c r="WX151" s="166"/>
      <c r="WY151" s="166"/>
      <c r="WZ151" s="166"/>
      <c r="XA151" s="166"/>
      <c r="XB151" s="166"/>
      <c r="XC151" s="166"/>
      <c r="XD151" s="166"/>
      <c r="XE151" s="166"/>
      <c r="XF151" s="166"/>
      <c r="XG151" s="166"/>
      <c r="XH151" s="166"/>
      <c r="XI151" s="166"/>
      <c r="XJ151" s="166"/>
      <c r="XK151" s="166"/>
      <c r="XL151" s="166"/>
      <c r="XM151" s="166"/>
      <c r="XN151" s="166"/>
      <c r="XO151" s="166"/>
      <c r="XP151" s="166"/>
      <c r="XQ151" s="166"/>
      <c r="XR151" s="166"/>
      <c r="XS151" s="166"/>
      <c r="XT151" s="166"/>
      <c r="XU151" s="166"/>
      <c r="XV151" s="166"/>
      <c r="XW151" s="166"/>
      <c r="XX151" s="166"/>
      <c r="XY151" s="166"/>
      <c r="XZ151" s="166"/>
      <c r="YA151" s="166"/>
      <c r="YB151" s="166"/>
      <c r="YC151" s="166"/>
      <c r="YD151" s="166"/>
      <c r="YE151" s="166"/>
      <c r="YF151" s="166"/>
      <c r="YG151" s="166"/>
      <c r="YH151" s="166"/>
      <c r="YI151" s="166"/>
      <c r="YJ151" s="166"/>
      <c r="YK151" s="166"/>
      <c r="YL151" s="166"/>
      <c r="YM151" s="166"/>
      <c r="YN151" s="166"/>
      <c r="YO151" s="166"/>
      <c r="YP151" s="166"/>
      <c r="YQ151" s="166"/>
      <c r="YR151" s="166"/>
      <c r="YS151" s="166"/>
      <c r="YT151" s="166"/>
      <c r="YU151" s="166"/>
      <c r="YV151" s="166"/>
      <c r="YW151" s="166"/>
      <c r="YX151" s="166"/>
      <c r="YY151" s="166"/>
      <c r="YZ151" s="166"/>
      <c r="ZA151" s="166"/>
      <c r="ZB151" s="166"/>
      <c r="ZC151" s="166"/>
      <c r="ZD151" s="166"/>
      <c r="ZE151" s="166"/>
      <c r="ZF151" s="166"/>
      <c r="ZG151" s="166"/>
      <c r="ZH151" s="166"/>
      <c r="ZI151" s="166"/>
      <c r="ZJ151" s="166"/>
      <c r="ZK151" s="166"/>
      <c r="ZL151" s="166"/>
      <c r="ZM151" s="166"/>
      <c r="ZN151" s="166"/>
      <c r="ZO151" s="166"/>
      <c r="ZP151" s="166"/>
      <c r="ZQ151" s="166"/>
      <c r="ZR151" s="166"/>
      <c r="ZS151" s="166"/>
      <c r="ZT151" s="166"/>
      <c r="ZU151" s="166"/>
      <c r="ZV151" s="166"/>
      <c r="ZW151" s="166"/>
      <c r="ZX151" s="166"/>
      <c r="ZY151" s="166"/>
      <c r="ZZ151" s="166"/>
      <c r="AAA151" s="166"/>
      <c r="AAB151" s="166"/>
      <c r="AAC151" s="166"/>
      <c r="AAD151" s="166"/>
      <c r="AAE151" s="166"/>
      <c r="AAF151" s="166"/>
      <c r="AAG151" s="166"/>
      <c r="AAH151" s="166"/>
      <c r="AAI151" s="166"/>
      <c r="AAJ151" s="166"/>
      <c r="AAK151" s="166"/>
      <c r="AAL151" s="166"/>
      <c r="AAM151" s="166"/>
      <c r="AAN151" s="166"/>
      <c r="AAO151" s="166"/>
      <c r="AAP151" s="166"/>
      <c r="AAQ151" s="166"/>
      <c r="AAR151" s="166"/>
      <c r="AAS151" s="166"/>
      <c r="AAT151" s="166"/>
      <c r="AAU151" s="166"/>
      <c r="AAV151" s="166"/>
      <c r="AAW151" s="166"/>
      <c r="AAX151" s="166"/>
      <c r="AAY151" s="166"/>
      <c r="AAZ151" s="166"/>
      <c r="ABA151" s="166"/>
      <c r="ABB151" s="166"/>
      <c r="ABC151" s="166"/>
      <c r="ABD151" s="166"/>
      <c r="ABE151" s="166"/>
      <c r="ABF151" s="166"/>
      <c r="ABG151" s="166"/>
      <c r="ABH151" s="166"/>
      <c r="ABI151" s="166"/>
      <c r="ABJ151" s="166"/>
      <c r="ABK151" s="166"/>
      <c r="ABL151" s="166"/>
      <c r="ABM151" s="166"/>
      <c r="ABN151" s="166"/>
      <c r="ABO151" s="166"/>
      <c r="ABP151" s="166"/>
      <c r="ABQ151" s="166"/>
      <c r="ABR151" s="166"/>
      <c r="ABS151" s="166"/>
      <c r="ABT151" s="166"/>
      <c r="ABU151" s="166"/>
      <c r="ABV151" s="166"/>
      <c r="ABW151" s="166"/>
      <c r="ABX151" s="166"/>
      <c r="ABY151" s="166"/>
      <c r="ABZ151" s="166"/>
      <c r="ACA151" s="166"/>
      <c r="ACB151" s="166"/>
      <c r="ACC151" s="166"/>
      <c r="ACD151" s="166"/>
      <c r="ACE151" s="166"/>
      <c r="ACF151" s="166"/>
      <c r="ACG151" s="166"/>
      <c r="ACH151" s="166"/>
      <c r="ACI151" s="166"/>
      <c r="ACJ151" s="166"/>
      <c r="ACK151" s="166"/>
      <c r="ACL151" s="166"/>
      <c r="ACM151" s="166"/>
      <c r="ACN151" s="166"/>
      <c r="ACO151" s="166"/>
      <c r="ACP151" s="166"/>
      <c r="ACQ151" s="166"/>
      <c r="ACR151" s="166"/>
      <c r="ACS151" s="166"/>
      <c r="ACT151" s="166"/>
      <c r="ACU151" s="166"/>
      <c r="ACV151" s="166"/>
      <c r="ACW151" s="166"/>
      <c r="ACX151" s="166"/>
      <c r="ACY151" s="166"/>
      <c r="ACZ151" s="166"/>
      <c r="ADA151" s="166"/>
      <c r="ADB151" s="166"/>
      <c r="ADC151" s="166"/>
      <c r="ADD151" s="166"/>
      <c r="ADE151" s="166"/>
      <c r="ADF151" s="166"/>
      <c r="ADG151" s="166"/>
      <c r="ADH151" s="166"/>
      <c r="ADI151" s="166"/>
      <c r="ADJ151" s="166"/>
      <c r="ADK151" s="166"/>
      <c r="ADL151" s="166"/>
      <c r="ADM151" s="166"/>
      <c r="ADN151" s="166"/>
      <c r="ADO151" s="166"/>
      <c r="ADP151" s="166"/>
      <c r="ADQ151" s="166"/>
      <c r="ADR151" s="166"/>
      <c r="ADS151" s="166"/>
      <c r="ADT151" s="166"/>
      <c r="ADU151" s="166"/>
      <c r="ADV151" s="166"/>
      <c r="ADW151" s="166"/>
      <c r="ADX151" s="166"/>
      <c r="ADY151" s="166"/>
      <c r="ADZ151" s="166"/>
      <c r="AEA151" s="166"/>
      <c r="AEB151" s="166"/>
      <c r="AEC151" s="166"/>
      <c r="AED151" s="166"/>
      <c r="AEE151" s="166"/>
      <c r="AEF151" s="166"/>
      <c r="AEG151" s="166"/>
      <c r="AEH151" s="166"/>
      <c r="AEI151" s="166"/>
      <c r="AEJ151" s="166"/>
      <c r="AEK151" s="166"/>
      <c r="AEL151" s="166"/>
      <c r="AEM151" s="166"/>
      <c r="AEN151" s="166"/>
      <c r="AEO151" s="166"/>
      <c r="AEP151" s="166"/>
      <c r="AEQ151" s="166"/>
      <c r="AER151" s="166"/>
      <c r="AES151" s="166"/>
      <c r="AET151" s="166"/>
      <c r="AEU151" s="166"/>
      <c r="AEV151" s="166"/>
      <c r="AEW151" s="166"/>
      <c r="AEX151" s="166"/>
      <c r="AEY151" s="166"/>
      <c r="AEZ151" s="166"/>
      <c r="AFA151" s="166"/>
      <c r="AFB151" s="166"/>
      <c r="AFC151" s="166"/>
      <c r="AFD151" s="166"/>
      <c r="AFE151" s="166"/>
      <c r="AFF151" s="166"/>
      <c r="AFG151" s="166"/>
      <c r="AFH151" s="166"/>
      <c r="AFI151" s="166"/>
      <c r="AFJ151" s="166"/>
      <c r="AFK151" s="166"/>
      <c r="AFL151" s="166"/>
      <c r="AFM151" s="166"/>
      <c r="AFN151" s="166"/>
      <c r="AFO151" s="166"/>
      <c r="AFP151" s="166"/>
      <c r="AFQ151" s="166"/>
      <c r="AFR151" s="166"/>
      <c r="AFS151" s="166"/>
      <c r="AFT151" s="166"/>
      <c r="AFU151" s="166"/>
      <c r="AFV151" s="166"/>
      <c r="AFW151" s="166"/>
      <c r="AFX151" s="166"/>
      <c r="AFY151" s="166"/>
      <c r="AFZ151" s="166"/>
      <c r="AGA151" s="166"/>
      <c r="AGB151" s="166"/>
      <c r="AGC151" s="166"/>
      <c r="AGD151" s="166"/>
      <c r="AGE151" s="166"/>
      <c r="AGF151" s="166"/>
      <c r="AGG151" s="166"/>
      <c r="AGH151" s="166"/>
      <c r="AGI151" s="166"/>
      <c r="AGJ151" s="166"/>
      <c r="AGK151" s="166"/>
      <c r="AGL151" s="166"/>
      <c r="AGM151" s="166"/>
      <c r="AGN151" s="166"/>
      <c r="AGO151" s="166"/>
      <c r="AGP151" s="166"/>
      <c r="AGQ151" s="166"/>
      <c r="AGR151" s="166"/>
      <c r="AGS151" s="166"/>
      <c r="AGT151" s="166"/>
      <c r="AGU151" s="166"/>
      <c r="AGV151" s="166"/>
      <c r="AGW151" s="166"/>
      <c r="AGX151" s="166"/>
      <c r="AGY151" s="166"/>
      <c r="AGZ151" s="166"/>
      <c r="AHA151" s="166"/>
      <c r="AHB151" s="166"/>
      <c r="AHC151" s="166"/>
      <c r="AHD151" s="166"/>
      <c r="AHE151" s="166"/>
      <c r="AHF151" s="166"/>
      <c r="AHG151" s="166"/>
      <c r="AHH151" s="166"/>
      <c r="AHI151" s="166"/>
      <c r="AHJ151" s="166"/>
      <c r="AHK151" s="166"/>
      <c r="AHL151" s="166"/>
      <c r="AHM151" s="166"/>
      <c r="AHN151" s="166"/>
      <c r="AHO151" s="166"/>
      <c r="AHP151" s="166"/>
      <c r="AHQ151" s="166"/>
      <c r="AHR151" s="166"/>
      <c r="AHS151" s="166"/>
      <c r="AHT151" s="166"/>
      <c r="AHU151" s="166"/>
      <c r="AHV151" s="166"/>
      <c r="AHW151" s="166"/>
      <c r="AHX151" s="166"/>
      <c r="AHY151" s="166"/>
      <c r="AHZ151" s="166"/>
      <c r="AIA151" s="166"/>
      <c r="AIB151" s="166"/>
      <c r="AIC151" s="166"/>
      <c r="AID151" s="166"/>
      <c r="AIE151" s="166"/>
      <c r="AIF151" s="166"/>
      <c r="AIG151" s="166"/>
      <c r="AIH151" s="166"/>
      <c r="AII151" s="166"/>
      <c r="AIJ151" s="166"/>
      <c r="AIK151" s="166"/>
      <c r="AIL151" s="166"/>
      <c r="AIM151" s="166"/>
      <c r="AIN151" s="166"/>
      <c r="AIO151" s="166"/>
      <c r="AIP151" s="166"/>
      <c r="AIQ151" s="166"/>
      <c r="AIR151" s="166"/>
      <c r="AIS151" s="166"/>
      <c r="AIT151" s="166"/>
      <c r="AIU151" s="166"/>
      <c r="AIV151" s="166"/>
      <c r="AIW151" s="166"/>
      <c r="AIX151" s="166"/>
      <c r="AIY151" s="166"/>
      <c r="AIZ151" s="166"/>
      <c r="AJA151" s="166"/>
      <c r="AJB151" s="166"/>
      <c r="AJC151" s="166"/>
      <c r="AJD151" s="166"/>
      <c r="AJE151" s="166"/>
      <c r="AJF151" s="166"/>
      <c r="AJG151" s="166"/>
      <c r="AJH151" s="166"/>
      <c r="AJI151" s="166"/>
      <c r="AJJ151" s="166"/>
      <c r="AJK151" s="166"/>
      <c r="AJL151" s="166"/>
      <c r="AJM151" s="166"/>
      <c r="AJN151" s="166"/>
      <c r="AJO151" s="166"/>
      <c r="AJP151" s="166"/>
      <c r="AJQ151" s="166"/>
      <c r="AJR151" s="166"/>
      <c r="AJS151" s="166"/>
      <c r="AJT151" s="166"/>
      <c r="AJU151" s="166"/>
      <c r="AJV151" s="166"/>
      <c r="AJW151" s="166"/>
      <c r="AJX151" s="166"/>
      <c r="AJY151" s="166"/>
      <c r="AJZ151" s="166"/>
      <c r="AKA151" s="166"/>
      <c r="AKB151" s="166"/>
      <c r="AKC151" s="166"/>
      <c r="AKD151" s="166"/>
      <c r="AKE151" s="166"/>
      <c r="AKF151" s="166"/>
      <c r="AKG151" s="166"/>
      <c r="AKH151" s="166"/>
      <c r="AKI151" s="166"/>
      <c r="AKJ151" s="166"/>
      <c r="AKK151" s="166"/>
      <c r="AKL151" s="166"/>
      <c r="AKM151" s="166"/>
      <c r="AKN151" s="166"/>
      <c r="AKO151" s="166"/>
      <c r="AKP151" s="166"/>
      <c r="AKQ151" s="166"/>
      <c r="AKR151" s="166"/>
      <c r="AKS151" s="166"/>
      <c r="AKT151" s="166"/>
      <c r="AKU151" s="166"/>
      <c r="AKV151" s="166"/>
      <c r="AKW151" s="166"/>
      <c r="AKX151" s="166"/>
      <c r="AKY151" s="166"/>
      <c r="AKZ151" s="166"/>
      <c r="ALA151" s="166"/>
      <c r="ALB151" s="166"/>
      <c r="ALC151" s="166"/>
      <c r="ALD151" s="166"/>
      <c r="ALE151" s="166"/>
      <c r="ALF151" s="166"/>
      <c r="ALG151" s="166"/>
      <c r="ALH151" s="166"/>
      <c r="ALI151" s="166"/>
      <c r="ALJ151" s="166"/>
      <c r="ALK151" s="166"/>
      <c r="ALL151" s="166"/>
      <c r="ALM151" s="166"/>
      <c r="ALN151" s="166"/>
      <c r="ALO151" s="166"/>
      <c r="ALP151" s="166"/>
      <c r="ALQ151" s="166"/>
      <c r="ALR151" s="166"/>
      <c r="ALS151" s="166"/>
      <c r="ALT151" s="166"/>
      <c r="ALU151" s="166"/>
      <c r="ALV151" s="166"/>
      <c r="ALW151" s="166"/>
      <c r="ALX151" s="166"/>
      <c r="ALY151" s="166"/>
      <c r="ALZ151" s="166"/>
      <c r="AMA151" s="166"/>
      <c r="AMB151" s="166"/>
      <c r="AMC151" s="166"/>
      <c r="AMD151" s="166"/>
      <c r="AME151" s="166"/>
      <c r="AMF151" s="166"/>
      <c r="AMG151" s="166"/>
      <c r="AMH151" s="166"/>
      <c r="AMI151" s="166"/>
      <c r="AMJ151" s="166"/>
    </row>
    <row r="152" spans="1:1024" s="167" customFormat="1">
      <c r="A152" s="231" t="s">
        <v>162</v>
      </c>
      <c r="B152" s="63" t="s">
        <v>229</v>
      </c>
      <c r="C152" s="63" t="s">
        <v>230</v>
      </c>
      <c r="D152" s="24" t="s">
        <v>231</v>
      </c>
      <c r="E152" s="155" t="s">
        <v>118</v>
      </c>
      <c r="F152" s="39">
        <f>'MEMÓRIA DE CÁLCULO'!H960</f>
        <v>2</v>
      </c>
      <c r="G152" s="39">
        <v>2188.9499999999998</v>
      </c>
      <c r="H152" s="36">
        <f t="shared" si="61"/>
        <v>2675.55</v>
      </c>
      <c r="I152" s="71">
        <f t="shared" si="62"/>
        <v>5351.1</v>
      </c>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6"/>
      <c r="CO152" s="166"/>
      <c r="CP152" s="166"/>
      <c r="CQ152" s="166"/>
      <c r="CR152" s="166"/>
      <c r="CS152" s="166"/>
      <c r="CT152" s="166"/>
      <c r="CU152" s="166"/>
      <c r="CV152" s="166"/>
      <c r="CW152" s="166"/>
      <c r="CX152" s="166"/>
      <c r="CY152" s="166"/>
      <c r="CZ152" s="166"/>
      <c r="DA152" s="166"/>
      <c r="DB152" s="166"/>
      <c r="DC152" s="166"/>
      <c r="DD152" s="166"/>
      <c r="DE152" s="166"/>
      <c r="DF152" s="166"/>
      <c r="DG152" s="166"/>
      <c r="DH152" s="166"/>
      <c r="DI152" s="166"/>
      <c r="DJ152" s="166"/>
      <c r="DK152" s="166"/>
      <c r="DL152" s="166"/>
      <c r="DM152" s="166"/>
      <c r="DN152" s="166"/>
      <c r="DO152" s="166"/>
      <c r="DP152" s="166"/>
      <c r="DQ152" s="166"/>
      <c r="DR152" s="166"/>
      <c r="DS152" s="166"/>
      <c r="DT152" s="166"/>
      <c r="DU152" s="166"/>
      <c r="DV152" s="166"/>
      <c r="DW152" s="166"/>
      <c r="DX152" s="166"/>
      <c r="DY152" s="166"/>
      <c r="DZ152" s="166"/>
      <c r="EA152" s="166"/>
      <c r="EB152" s="166"/>
      <c r="EC152" s="166"/>
      <c r="ED152" s="166"/>
      <c r="EE152" s="166"/>
      <c r="EF152" s="166"/>
      <c r="EG152" s="166"/>
      <c r="EH152" s="166"/>
      <c r="EI152" s="166"/>
      <c r="EJ152" s="166"/>
      <c r="EK152" s="166"/>
      <c r="EL152" s="166"/>
      <c r="EM152" s="166"/>
      <c r="EN152" s="166"/>
      <c r="EO152" s="166"/>
      <c r="EP152" s="166"/>
      <c r="EQ152" s="166"/>
      <c r="ER152" s="166"/>
      <c r="ES152" s="166"/>
      <c r="ET152" s="166"/>
      <c r="EU152" s="166"/>
      <c r="EV152" s="166"/>
      <c r="EW152" s="166"/>
      <c r="EX152" s="166"/>
      <c r="EY152" s="166"/>
      <c r="EZ152" s="166"/>
      <c r="FA152" s="166"/>
      <c r="FB152" s="166"/>
      <c r="FC152" s="166"/>
      <c r="FD152" s="166"/>
      <c r="FE152" s="166"/>
      <c r="FF152" s="166"/>
      <c r="FG152" s="166"/>
      <c r="FH152" s="166"/>
      <c r="FI152" s="166"/>
      <c r="FJ152" s="166"/>
      <c r="FK152" s="166"/>
      <c r="FL152" s="166"/>
      <c r="FM152" s="166"/>
      <c r="FN152" s="166"/>
      <c r="FO152" s="166"/>
      <c r="FP152" s="166"/>
      <c r="FQ152" s="166"/>
      <c r="FR152" s="166"/>
      <c r="FS152" s="166"/>
      <c r="FT152" s="166"/>
      <c r="FU152" s="166"/>
      <c r="FV152" s="166"/>
      <c r="FW152" s="166"/>
      <c r="FX152" s="166"/>
      <c r="FY152" s="166"/>
      <c r="FZ152" s="166"/>
      <c r="GA152" s="166"/>
      <c r="GB152" s="166"/>
      <c r="GC152" s="166"/>
      <c r="GD152" s="166"/>
      <c r="GE152" s="166"/>
      <c r="GF152" s="166"/>
      <c r="GG152" s="166"/>
      <c r="GH152" s="166"/>
      <c r="GI152" s="166"/>
      <c r="GJ152" s="166"/>
      <c r="GK152" s="166"/>
      <c r="GL152" s="166"/>
      <c r="GM152" s="166"/>
      <c r="GN152" s="166"/>
      <c r="GO152" s="166"/>
      <c r="GP152" s="166"/>
      <c r="GQ152" s="166"/>
      <c r="GR152" s="166"/>
      <c r="GS152" s="166"/>
      <c r="GT152" s="166"/>
      <c r="GU152" s="166"/>
      <c r="GV152" s="166"/>
      <c r="GW152" s="166"/>
      <c r="GX152" s="166"/>
      <c r="GY152" s="166"/>
      <c r="GZ152" s="166"/>
      <c r="HA152" s="166"/>
      <c r="HB152" s="166"/>
      <c r="HC152" s="166"/>
      <c r="HD152" s="166"/>
      <c r="HE152" s="166"/>
      <c r="HF152" s="166"/>
      <c r="HG152" s="166"/>
      <c r="HH152" s="166"/>
      <c r="HI152" s="166"/>
      <c r="HJ152" s="166"/>
      <c r="HK152" s="166"/>
      <c r="HL152" s="166"/>
      <c r="HM152" s="166"/>
      <c r="HN152" s="166"/>
      <c r="HO152" s="166"/>
      <c r="HP152" s="166"/>
      <c r="HQ152" s="166"/>
      <c r="HR152" s="166"/>
      <c r="HS152" s="166"/>
      <c r="HT152" s="166"/>
      <c r="HU152" s="166"/>
      <c r="HV152" s="166"/>
      <c r="HW152" s="166"/>
      <c r="HX152" s="166"/>
      <c r="HY152" s="166"/>
      <c r="HZ152" s="166"/>
      <c r="IA152" s="166"/>
      <c r="IB152" s="166"/>
      <c r="IC152" s="166"/>
      <c r="ID152" s="166"/>
      <c r="IE152" s="166"/>
      <c r="IF152" s="166"/>
      <c r="IG152" s="166"/>
      <c r="IH152" s="166"/>
      <c r="II152" s="166"/>
      <c r="IJ152" s="166"/>
      <c r="IK152" s="166"/>
      <c r="IL152" s="166"/>
      <c r="IM152" s="166"/>
      <c r="IN152" s="166"/>
      <c r="IO152" s="166"/>
      <c r="IP152" s="166"/>
      <c r="IQ152" s="166"/>
      <c r="IR152" s="166"/>
      <c r="IS152" s="166"/>
      <c r="IT152" s="166"/>
      <c r="IU152" s="166"/>
      <c r="IV152" s="166"/>
      <c r="IW152" s="166"/>
      <c r="IX152" s="166"/>
      <c r="IY152" s="166"/>
      <c r="IZ152" s="166"/>
      <c r="JA152" s="166"/>
      <c r="JB152" s="166"/>
      <c r="JC152" s="166"/>
      <c r="JD152" s="166"/>
      <c r="JE152" s="166"/>
      <c r="JF152" s="166"/>
      <c r="JG152" s="166"/>
      <c r="JH152" s="166"/>
      <c r="JI152" s="166"/>
      <c r="JJ152" s="166"/>
      <c r="JK152" s="166"/>
      <c r="JL152" s="166"/>
      <c r="JM152" s="166"/>
      <c r="JN152" s="166"/>
      <c r="JO152" s="166"/>
      <c r="JP152" s="166"/>
      <c r="JQ152" s="166"/>
      <c r="JR152" s="166"/>
      <c r="JS152" s="166"/>
      <c r="JT152" s="166"/>
      <c r="JU152" s="166"/>
      <c r="JV152" s="166"/>
      <c r="JW152" s="166"/>
      <c r="JX152" s="166"/>
      <c r="JY152" s="166"/>
      <c r="JZ152" s="166"/>
      <c r="KA152" s="166"/>
      <c r="KB152" s="166"/>
      <c r="KC152" s="166"/>
      <c r="KD152" s="166"/>
      <c r="KE152" s="166"/>
      <c r="KF152" s="166"/>
      <c r="KG152" s="166"/>
      <c r="KH152" s="166"/>
      <c r="KI152" s="166"/>
      <c r="KJ152" s="166"/>
      <c r="KK152" s="166"/>
      <c r="KL152" s="166"/>
      <c r="KM152" s="166"/>
      <c r="KN152" s="166"/>
      <c r="KO152" s="166"/>
      <c r="KP152" s="166"/>
      <c r="KQ152" s="166"/>
      <c r="KR152" s="166"/>
      <c r="KS152" s="166"/>
      <c r="KT152" s="166"/>
      <c r="KU152" s="166"/>
      <c r="KV152" s="166"/>
      <c r="KW152" s="166"/>
      <c r="KX152" s="166"/>
      <c r="KY152" s="166"/>
      <c r="KZ152" s="166"/>
      <c r="LA152" s="166"/>
      <c r="LB152" s="166"/>
      <c r="LC152" s="166"/>
      <c r="LD152" s="166"/>
      <c r="LE152" s="166"/>
      <c r="LF152" s="166"/>
      <c r="LG152" s="166"/>
      <c r="LH152" s="166"/>
      <c r="LI152" s="166"/>
      <c r="LJ152" s="166"/>
      <c r="LK152" s="166"/>
      <c r="LL152" s="166"/>
      <c r="LM152" s="166"/>
      <c r="LN152" s="166"/>
      <c r="LO152" s="166"/>
      <c r="LP152" s="166"/>
      <c r="LQ152" s="166"/>
      <c r="LR152" s="166"/>
      <c r="LS152" s="166"/>
      <c r="LT152" s="166"/>
      <c r="LU152" s="166"/>
      <c r="LV152" s="166"/>
      <c r="LW152" s="166"/>
      <c r="LX152" s="166"/>
      <c r="LY152" s="166"/>
      <c r="LZ152" s="166"/>
      <c r="MA152" s="166"/>
      <c r="MB152" s="166"/>
      <c r="MC152" s="166"/>
      <c r="MD152" s="166"/>
      <c r="ME152" s="166"/>
      <c r="MF152" s="166"/>
      <c r="MG152" s="166"/>
      <c r="MH152" s="166"/>
      <c r="MI152" s="166"/>
      <c r="MJ152" s="166"/>
      <c r="MK152" s="166"/>
      <c r="ML152" s="166"/>
      <c r="MM152" s="166"/>
      <c r="MN152" s="166"/>
      <c r="MO152" s="166"/>
      <c r="MP152" s="166"/>
      <c r="MQ152" s="166"/>
      <c r="MR152" s="166"/>
      <c r="MS152" s="166"/>
      <c r="MT152" s="166"/>
      <c r="MU152" s="166"/>
      <c r="MV152" s="166"/>
      <c r="MW152" s="166"/>
      <c r="MX152" s="166"/>
      <c r="MY152" s="166"/>
      <c r="MZ152" s="166"/>
      <c r="NA152" s="166"/>
      <c r="NB152" s="166"/>
      <c r="NC152" s="166"/>
      <c r="ND152" s="166"/>
      <c r="NE152" s="166"/>
      <c r="NF152" s="166"/>
      <c r="NG152" s="166"/>
      <c r="NH152" s="166"/>
      <c r="NI152" s="166"/>
      <c r="NJ152" s="166"/>
      <c r="NK152" s="166"/>
      <c r="NL152" s="166"/>
      <c r="NM152" s="166"/>
      <c r="NN152" s="166"/>
      <c r="NO152" s="166"/>
      <c r="NP152" s="166"/>
      <c r="NQ152" s="166"/>
      <c r="NR152" s="166"/>
      <c r="NS152" s="166"/>
      <c r="NT152" s="166"/>
      <c r="NU152" s="166"/>
      <c r="NV152" s="166"/>
      <c r="NW152" s="166"/>
      <c r="NX152" s="166"/>
      <c r="NY152" s="166"/>
      <c r="NZ152" s="166"/>
      <c r="OA152" s="166"/>
      <c r="OB152" s="166"/>
      <c r="OC152" s="166"/>
      <c r="OD152" s="166"/>
      <c r="OE152" s="166"/>
      <c r="OF152" s="166"/>
      <c r="OG152" s="166"/>
      <c r="OH152" s="166"/>
      <c r="OI152" s="166"/>
      <c r="OJ152" s="166"/>
      <c r="OK152" s="166"/>
      <c r="OL152" s="166"/>
      <c r="OM152" s="166"/>
      <c r="ON152" s="166"/>
      <c r="OO152" s="166"/>
      <c r="OP152" s="166"/>
      <c r="OQ152" s="166"/>
      <c r="OR152" s="166"/>
      <c r="OS152" s="166"/>
      <c r="OT152" s="166"/>
      <c r="OU152" s="166"/>
      <c r="OV152" s="166"/>
      <c r="OW152" s="166"/>
      <c r="OX152" s="166"/>
      <c r="OY152" s="166"/>
      <c r="OZ152" s="166"/>
      <c r="PA152" s="166"/>
      <c r="PB152" s="166"/>
      <c r="PC152" s="166"/>
      <c r="PD152" s="166"/>
      <c r="PE152" s="166"/>
      <c r="PF152" s="166"/>
      <c r="PG152" s="166"/>
      <c r="PH152" s="166"/>
      <c r="PI152" s="166"/>
      <c r="PJ152" s="166"/>
      <c r="PK152" s="166"/>
      <c r="PL152" s="166"/>
      <c r="PM152" s="166"/>
      <c r="PN152" s="166"/>
      <c r="PO152" s="166"/>
      <c r="PP152" s="166"/>
      <c r="PQ152" s="166"/>
      <c r="PR152" s="166"/>
      <c r="PS152" s="166"/>
      <c r="PT152" s="166"/>
      <c r="PU152" s="166"/>
      <c r="PV152" s="166"/>
      <c r="PW152" s="166"/>
      <c r="PX152" s="166"/>
      <c r="PY152" s="166"/>
      <c r="PZ152" s="166"/>
      <c r="QA152" s="166"/>
      <c r="QB152" s="166"/>
      <c r="QC152" s="166"/>
      <c r="QD152" s="166"/>
      <c r="QE152" s="166"/>
      <c r="QF152" s="166"/>
      <c r="QG152" s="166"/>
      <c r="QH152" s="166"/>
      <c r="QI152" s="166"/>
      <c r="QJ152" s="166"/>
      <c r="QK152" s="166"/>
      <c r="QL152" s="166"/>
      <c r="QM152" s="166"/>
      <c r="QN152" s="166"/>
      <c r="QO152" s="166"/>
      <c r="QP152" s="166"/>
      <c r="QQ152" s="166"/>
      <c r="QR152" s="166"/>
      <c r="QS152" s="166"/>
      <c r="QT152" s="166"/>
      <c r="QU152" s="166"/>
      <c r="QV152" s="166"/>
      <c r="QW152" s="166"/>
      <c r="QX152" s="166"/>
      <c r="QY152" s="166"/>
      <c r="QZ152" s="166"/>
      <c r="RA152" s="166"/>
      <c r="RB152" s="166"/>
      <c r="RC152" s="166"/>
      <c r="RD152" s="166"/>
      <c r="RE152" s="166"/>
      <c r="RF152" s="166"/>
      <c r="RG152" s="166"/>
      <c r="RH152" s="166"/>
      <c r="RI152" s="166"/>
      <c r="RJ152" s="166"/>
      <c r="RK152" s="166"/>
      <c r="RL152" s="166"/>
      <c r="RM152" s="166"/>
      <c r="RN152" s="166"/>
      <c r="RO152" s="166"/>
      <c r="RP152" s="166"/>
      <c r="RQ152" s="166"/>
      <c r="RR152" s="166"/>
      <c r="RS152" s="166"/>
      <c r="RT152" s="166"/>
      <c r="RU152" s="166"/>
      <c r="RV152" s="166"/>
      <c r="RW152" s="166"/>
      <c r="RX152" s="166"/>
      <c r="RY152" s="166"/>
      <c r="RZ152" s="166"/>
      <c r="SA152" s="166"/>
      <c r="SB152" s="166"/>
      <c r="SC152" s="166"/>
      <c r="SD152" s="166"/>
      <c r="SE152" s="166"/>
      <c r="SF152" s="166"/>
      <c r="SG152" s="166"/>
      <c r="SH152" s="166"/>
      <c r="SI152" s="166"/>
      <c r="SJ152" s="166"/>
      <c r="SK152" s="166"/>
      <c r="SL152" s="166"/>
      <c r="SM152" s="166"/>
      <c r="SN152" s="166"/>
      <c r="SO152" s="166"/>
      <c r="SP152" s="166"/>
      <c r="SQ152" s="166"/>
      <c r="SR152" s="166"/>
      <c r="SS152" s="166"/>
      <c r="ST152" s="166"/>
      <c r="SU152" s="166"/>
      <c r="SV152" s="166"/>
      <c r="SW152" s="166"/>
      <c r="SX152" s="166"/>
      <c r="SY152" s="166"/>
      <c r="SZ152" s="166"/>
      <c r="TA152" s="166"/>
      <c r="TB152" s="166"/>
      <c r="TC152" s="166"/>
      <c r="TD152" s="166"/>
      <c r="TE152" s="166"/>
      <c r="TF152" s="166"/>
      <c r="TG152" s="166"/>
      <c r="TH152" s="166"/>
      <c r="TI152" s="166"/>
      <c r="TJ152" s="166"/>
      <c r="TK152" s="166"/>
      <c r="TL152" s="166"/>
      <c r="TM152" s="166"/>
      <c r="TN152" s="166"/>
      <c r="TO152" s="166"/>
      <c r="TP152" s="166"/>
      <c r="TQ152" s="166"/>
      <c r="TR152" s="166"/>
      <c r="TS152" s="166"/>
      <c r="TT152" s="166"/>
      <c r="TU152" s="166"/>
      <c r="TV152" s="166"/>
      <c r="TW152" s="166"/>
      <c r="TX152" s="166"/>
      <c r="TY152" s="166"/>
      <c r="TZ152" s="166"/>
      <c r="UA152" s="166"/>
      <c r="UB152" s="166"/>
      <c r="UC152" s="166"/>
      <c r="UD152" s="166"/>
      <c r="UE152" s="166"/>
      <c r="UF152" s="166"/>
      <c r="UG152" s="166"/>
      <c r="UH152" s="166"/>
      <c r="UI152" s="166"/>
      <c r="UJ152" s="166"/>
      <c r="UK152" s="166"/>
      <c r="UL152" s="166"/>
      <c r="UM152" s="166"/>
      <c r="UN152" s="166"/>
      <c r="UO152" s="166"/>
      <c r="UP152" s="166"/>
      <c r="UQ152" s="166"/>
      <c r="UR152" s="166"/>
      <c r="US152" s="166"/>
      <c r="UT152" s="166"/>
      <c r="UU152" s="166"/>
      <c r="UV152" s="166"/>
      <c r="UW152" s="166"/>
      <c r="UX152" s="166"/>
      <c r="UY152" s="166"/>
      <c r="UZ152" s="166"/>
      <c r="VA152" s="166"/>
      <c r="VB152" s="166"/>
      <c r="VC152" s="166"/>
      <c r="VD152" s="166"/>
      <c r="VE152" s="166"/>
      <c r="VF152" s="166"/>
      <c r="VG152" s="166"/>
      <c r="VH152" s="166"/>
      <c r="VI152" s="166"/>
      <c r="VJ152" s="166"/>
      <c r="VK152" s="166"/>
      <c r="VL152" s="166"/>
      <c r="VM152" s="166"/>
      <c r="VN152" s="166"/>
      <c r="VO152" s="166"/>
      <c r="VP152" s="166"/>
      <c r="VQ152" s="166"/>
      <c r="VR152" s="166"/>
      <c r="VS152" s="166"/>
      <c r="VT152" s="166"/>
      <c r="VU152" s="166"/>
      <c r="VV152" s="166"/>
      <c r="VW152" s="166"/>
      <c r="VX152" s="166"/>
      <c r="VY152" s="166"/>
      <c r="VZ152" s="166"/>
      <c r="WA152" s="166"/>
      <c r="WB152" s="166"/>
      <c r="WC152" s="166"/>
      <c r="WD152" s="166"/>
      <c r="WE152" s="166"/>
      <c r="WF152" s="166"/>
      <c r="WG152" s="166"/>
      <c r="WH152" s="166"/>
      <c r="WI152" s="166"/>
      <c r="WJ152" s="166"/>
      <c r="WK152" s="166"/>
      <c r="WL152" s="166"/>
      <c r="WM152" s="166"/>
      <c r="WN152" s="166"/>
      <c r="WO152" s="166"/>
      <c r="WP152" s="166"/>
      <c r="WQ152" s="166"/>
      <c r="WR152" s="166"/>
      <c r="WS152" s="166"/>
      <c r="WT152" s="166"/>
      <c r="WU152" s="166"/>
      <c r="WV152" s="166"/>
      <c r="WW152" s="166"/>
      <c r="WX152" s="166"/>
      <c r="WY152" s="166"/>
      <c r="WZ152" s="166"/>
      <c r="XA152" s="166"/>
      <c r="XB152" s="166"/>
      <c r="XC152" s="166"/>
      <c r="XD152" s="166"/>
      <c r="XE152" s="166"/>
      <c r="XF152" s="166"/>
      <c r="XG152" s="166"/>
      <c r="XH152" s="166"/>
      <c r="XI152" s="166"/>
      <c r="XJ152" s="166"/>
      <c r="XK152" s="166"/>
      <c r="XL152" s="166"/>
      <c r="XM152" s="166"/>
      <c r="XN152" s="166"/>
      <c r="XO152" s="166"/>
      <c r="XP152" s="166"/>
      <c r="XQ152" s="166"/>
      <c r="XR152" s="166"/>
      <c r="XS152" s="166"/>
      <c r="XT152" s="166"/>
      <c r="XU152" s="166"/>
      <c r="XV152" s="166"/>
      <c r="XW152" s="166"/>
      <c r="XX152" s="166"/>
      <c r="XY152" s="166"/>
      <c r="XZ152" s="166"/>
      <c r="YA152" s="166"/>
      <c r="YB152" s="166"/>
      <c r="YC152" s="166"/>
      <c r="YD152" s="166"/>
      <c r="YE152" s="166"/>
      <c r="YF152" s="166"/>
      <c r="YG152" s="166"/>
      <c r="YH152" s="166"/>
      <c r="YI152" s="166"/>
      <c r="YJ152" s="166"/>
      <c r="YK152" s="166"/>
      <c r="YL152" s="166"/>
      <c r="YM152" s="166"/>
      <c r="YN152" s="166"/>
      <c r="YO152" s="166"/>
      <c r="YP152" s="166"/>
      <c r="YQ152" s="166"/>
      <c r="YR152" s="166"/>
      <c r="YS152" s="166"/>
      <c r="YT152" s="166"/>
      <c r="YU152" s="166"/>
      <c r="YV152" s="166"/>
      <c r="YW152" s="166"/>
      <c r="YX152" s="166"/>
      <c r="YY152" s="166"/>
      <c r="YZ152" s="166"/>
      <c r="ZA152" s="166"/>
      <c r="ZB152" s="166"/>
      <c r="ZC152" s="166"/>
      <c r="ZD152" s="166"/>
      <c r="ZE152" s="166"/>
      <c r="ZF152" s="166"/>
      <c r="ZG152" s="166"/>
      <c r="ZH152" s="166"/>
      <c r="ZI152" s="166"/>
      <c r="ZJ152" s="166"/>
      <c r="ZK152" s="166"/>
      <c r="ZL152" s="166"/>
      <c r="ZM152" s="166"/>
      <c r="ZN152" s="166"/>
      <c r="ZO152" s="166"/>
      <c r="ZP152" s="166"/>
      <c r="ZQ152" s="166"/>
      <c r="ZR152" s="166"/>
      <c r="ZS152" s="166"/>
      <c r="ZT152" s="166"/>
      <c r="ZU152" s="166"/>
      <c r="ZV152" s="166"/>
      <c r="ZW152" s="166"/>
      <c r="ZX152" s="166"/>
      <c r="ZY152" s="166"/>
      <c r="ZZ152" s="166"/>
      <c r="AAA152" s="166"/>
      <c r="AAB152" s="166"/>
      <c r="AAC152" s="166"/>
      <c r="AAD152" s="166"/>
      <c r="AAE152" s="166"/>
      <c r="AAF152" s="166"/>
      <c r="AAG152" s="166"/>
      <c r="AAH152" s="166"/>
      <c r="AAI152" s="166"/>
      <c r="AAJ152" s="166"/>
      <c r="AAK152" s="166"/>
      <c r="AAL152" s="166"/>
      <c r="AAM152" s="166"/>
      <c r="AAN152" s="166"/>
      <c r="AAO152" s="166"/>
      <c r="AAP152" s="166"/>
      <c r="AAQ152" s="166"/>
      <c r="AAR152" s="166"/>
      <c r="AAS152" s="166"/>
      <c r="AAT152" s="166"/>
      <c r="AAU152" s="166"/>
      <c r="AAV152" s="166"/>
      <c r="AAW152" s="166"/>
      <c r="AAX152" s="166"/>
      <c r="AAY152" s="166"/>
      <c r="AAZ152" s="166"/>
      <c r="ABA152" s="166"/>
      <c r="ABB152" s="166"/>
      <c r="ABC152" s="166"/>
      <c r="ABD152" s="166"/>
      <c r="ABE152" s="166"/>
      <c r="ABF152" s="166"/>
      <c r="ABG152" s="166"/>
      <c r="ABH152" s="166"/>
      <c r="ABI152" s="166"/>
      <c r="ABJ152" s="166"/>
      <c r="ABK152" s="166"/>
      <c r="ABL152" s="166"/>
      <c r="ABM152" s="166"/>
      <c r="ABN152" s="166"/>
      <c r="ABO152" s="166"/>
      <c r="ABP152" s="166"/>
      <c r="ABQ152" s="166"/>
      <c r="ABR152" s="166"/>
      <c r="ABS152" s="166"/>
      <c r="ABT152" s="166"/>
      <c r="ABU152" s="166"/>
      <c r="ABV152" s="166"/>
      <c r="ABW152" s="166"/>
      <c r="ABX152" s="166"/>
      <c r="ABY152" s="166"/>
      <c r="ABZ152" s="166"/>
      <c r="ACA152" s="166"/>
      <c r="ACB152" s="166"/>
      <c r="ACC152" s="166"/>
      <c r="ACD152" s="166"/>
      <c r="ACE152" s="166"/>
      <c r="ACF152" s="166"/>
      <c r="ACG152" s="166"/>
      <c r="ACH152" s="166"/>
      <c r="ACI152" s="166"/>
      <c r="ACJ152" s="166"/>
      <c r="ACK152" s="166"/>
      <c r="ACL152" s="166"/>
      <c r="ACM152" s="166"/>
      <c r="ACN152" s="166"/>
      <c r="ACO152" s="166"/>
      <c r="ACP152" s="166"/>
      <c r="ACQ152" s="166"/>
      <c r="ACR152" s="166"/>
      <c r="ACS152" s="166"/>
      <c r="ACT152" s="166"/>
      <c r="ACU152" s="166"/>
      <c r="ACV152" s="166"/>
      <c r="ACW152" s="166"/>
      <c r="ACX152" s="166"/>
      <c r="ACY152" s="166"/>
      <c r="ACZ152" s="166"/>
      <c r="ADA152" s="166"/>
      <c r="ADB152" s="166"/>
      <c r="ADC152" s="166"/>
      <c r="ADD152" s="166"/>
      <c r="ADE152" s="166"/>
      <c r="ADF152" s="166"/>
      <c r="ADG152" s="166"/>
      <c r="ADH152" s="166"/>
      <c r="ADI152" s="166"/>
      <c r="ADJ152" s="166"/>
      <c r="ADK152" s="166"/>
      <c r="ADL152" s="166"/>
      <c r="ADM152" s="166"/>
      <c r="ADN152" s="166"/>
      <c r="ADO152" s="166"/>
      <c r="ADP152" s="166"/>
      <c r="ADQ152" s="166"/>
      <c r="ADR152" s="166"/>
      <c r="ADS152" s="166"/>
      <c r="ADT152" s="166"/>
      <c r="ADU152" s="166"/>
      <c r="ADV152" s="166"/>
      <c r="ADW152" s="166"/>
      <c r="ADX152" s="166"/>
      <c r="ADY152" s="166"/>
      <c r="ADZ152" s="166"/>
      <c r="AEA152" s="166"/>
      <c r="AEB152" s="166"/>
      <c r="AEC152" s="166"/>
      <c r="AED152" s="166"/>
      <c r="AEE152" s="166"/>
      <c r="AEF152" s="166"/>
      <c r="AEG152" s="166"/>
      <c r="AEH152" s="166"/>
      <c r="AEI152" s="166"/>
      <c r="AEJ152" s="166"/>
      <c r="AEK152" s="166"/>
      <c r="AEL152" s="166"/>
      <c r="AEM152" s="166"/>
      <c r="AEN152" s="166"/>
      <c r="AEO152" s="166"/>
      <c r="AEP152" s="166"/>
      <c r="AEQ152" s="166"/>
      <c r="AER152" s="166"/>
      <c r="AES152" s="166"/>
      <c r="AET152" s="166"/>
      <c r="AEU152" s="166"/>
      <c r="AEV152" s="166"/>
      <c r="AEW152" s="166"/>
      <c r="AEX152" s="166"/>
      <c r="AEY152" s="166"/>
      <c r="AEZ152" s="166"/>
      <c r="AFA152" s="166"/>
      <c r="AFB152" s="166"/>
      <c r="AFC152" s="166"/>
      <c r="AFD152" s="166"/>
      <c r="AFE152" s="166"/>
      <c r="AFF152" s="166"/>
      <c r="AFG152" s="166"/>
      <c r="AFH152" s="166"/>
      <c r="AFI152" s="166"/>
      <c r="AFJ152" s="166"/>
      <c r="AFK152" s="166"/>
      <c r="AFL152" s="166"/>
      <c r="AFM152" s="166"/>
      <c r="AFN152" s="166"/>
      <c r="AFO152" s="166"/>
      <c r="AFP152" s="166"/>
      <c r="AFQ152" s="166"/>
      <c r="AFR152" s="166"/>
      <c r="AFS152" s="166"/>
      <c r="AFT152" s="166"/>
      <c r="AFU152" s="166"/>
      <c r="AFV152" s="166"/>
      <c r="AFW152" s="166"/>
      <c r="AFX152" s="166"/>
      <c r="AFY152" s="166"/>
      <c r="AFZ152" s="166"/>
      <c r="AGA152" s="166"/>
      <c r="AGB152" s="166"/>
      <c r="AGC152" s="166"/>
      <c r="AGD152" s="166"/>
      <c r="AGE152" s="166"/>
      <c r="AGF152" s="166"/>
      <c r="AGG152" s="166"/>
      <c r="AGH152" s="166"/>
      <c r="AGI152" s="166"/>
      <c r="AGJ152" s="166"/>
      <c r="AGK152" s="166"/>
      <c r="AGL152" s="166"/>
      <c r="AGM152" s="166"/>
      <c r="AGN152" s="166"/>
      <c r="AGO152" s="166"/>
      <c r="AGP152" s="166"/>
      <c r="AGQ152" s="166"/>
      <c r="AGR152" s="166"/>
      <c r="AGS152" s="166"/>
      <c r="AGT152" s="166"/>
      <c r="AGU152" s="166"/>
      <c r="AGV152" s="166"/>
      <c r="AGW152" s="166"/>
      <c r="AGX152" s="166"/>
      <c r="AGY152" s="166"/>
      <c r="AGZ152" s="166"/>
      <c r="AHA152" s="166"/>
      <c r="AHB152" s="166"/>
      <c r="AHC152" s="166"/>
      <c r="AHD152" s="166"/>
      <c r="AHE152" s="166"/>
      <c r="AHF152" s="166"/>
      <c r="AHG152" s="166"/>
      <c r="AHH152" s="166"/>
      <c r="AHI152" s="166"/>
      <c r="AHJ152" s="166"/>
      <c r="AHK152" s="166"/>
      <c r="AHL152" s="166"/>
      <c r="AHM152" s="166"/>
      <c r="AHN152" s="166"/>
      <c r="AHO152" s="166"/>
      <c r="AHP152" s="166"/>
      <c r="AHQ152" s="166"/>
      <c r="AHR152" s="166"/>
      <c r="AHS152" s="166"/>
      <c r="AHT152" s="166"/>
      <c r="AHU152" s="166"/>
      <c r="AHV152" s="166"/>
      <c r="AHW152" s="166"/>
      <c r="AHX152" s="166"/>
      <c r="AHY152" s="166"/>
      <c r="AHZ152" s="166"/>
      <c r="AIA152" s="166"/>
      <c r="AIB152" s="166"/>
      <c r="AIC152" s="166"/>
      <c r="AID152" s="166"/>
      <c r="AIE152" s="166"/>
      <c r="AIF152" s="166"/>
      <c r="AIG152" s="166"/>
      <c r="AIH152" s="166"/>
      <c r="AII152" s="166"/>
      <c r="AIJ152" s="166"/>
      <c r="AIK152" s="166"/>
      <c r="AIL152" s="166"/>
      <c r="AIM152" s="166"/>
      <c r="AIN152" s="166"/>
      <c r="AIO152" s="166"/>
      <c r="AIP152" s="166"/>
      <c r="AIQ152" s="166"/>
      <c r="AIR152" s="166"/>
      <c r="AIS152" s="166"/>
      <c r="AIT152" s="166"/>
      <c r="AIU152" s="166"/>
      <c r="AIV152" s="166"/>
      <c r="AIW152" s="166"/>
      <c r="AIX152" s="166"/>
      <c r="AIY152" s="166"/>
      <c r="AIZ152" s="166"/>
      <c r="AJA152" s="166"/>
      <c r="AJB152" s="166"/>
      <c r="AJC152" s="166"/>
      <c r="AJD152" s="166"/>
      <c r="AJE152" s="166"/>
      <c r="AJF152" s="166"/>
      <c r="AJG152" s="166"/>
      <c r="AJH152" s="166"/>
      <c r="AJI152" s="166"/>
      <c r="AJJ152" s="166"/>
      <c r="AJK152" s="166"/>
      <c r="AJL152" s="166"/>
      <c r="AJM152" s="166"/>
      <c r="AJN152" s="166"/>
      <c r="AJO152" s="166"/>
      <c r="AJP152" s="166"/>
      <c r="AJQ152" s="166"/>
      <c r="AJR152" s="166"/>
      <c r="AJS152" s="166"/>
      <c r="AJT152" s="166"/>
      <c r="AJU152" s="166"/>
      <c r="AJV152" s="166"/>
      <c r="AJW152" s="166"/>
      <c r="AJX152" s="166"/>
      <c r="AJY152" s="166"/>
      <c r="AJZ152" s="166"/>
      <c r="AKA152" s="166"/>
      <c r="AKB152" s="166"/>
      <c r="AKC152" s="166"/>
      <c r="AKD152" s="166"/>
      <c r="AKE152" s="166"/>
      <c r="AKF152" s="166"/>
      <c r="AKG152" s="166"/>
      <c r="AKH152" s="166"/>
      <c r="AKI152" s="166"/>
      <c r="AKJ152" s="166"/>
      <c r="AKK152" s="166"/>
      <c r="AKL152" s="166"/>
      <c r="AKM152" s="166"/>
      <c r="AKN152" s="166"/>
      <c r="AKO152" s="166"/>
      <c r="AKP152" s="166"/>
      <c r="AKQ152" s="166"/>
      <c r="AKR152" s="166"/>
      <c r="AKS152" s="166"/>
      <c r="AKT152" s="166"/>
      <c r="AKU152" s="166"/>
      <c r="AKV152" s="166"/>
      <c r="AKW152" s="166"/>
      <c r="AKX152" s="166"/>
      <c r="AKY152" s="166"/>
      <c r="AKZ152" s="166"/>
      <c r="ALA152" s="166"/>
      <c r="ALB152" s="166"/>
      <c r="ALC152" s="166"/>
      <c r="ALD152" s="166"/>
      <c r="ALE152" s="166"/>
      <c r="ALF152" s="166"/>
      <c r="ALG152" s="166"/>
      <c r="ALH152" s="166"/>
      <c r="ALI152" s="166"/>
      <c r="ALJ152" s="166"/>
      <c r="ALK152" s="166"/>
      <c r="ALL152" s="166"/>
      <c r="ALM152" s="166"/>
      <c r="ALN152" s="166"/>
      <c r="ALO152" s="166"/>
      <c r="ALP152" s="166"/>
      <c r="ALQ152" s="166"/>
      <c r="ALR152" s="166"/>
      <c r="ALS152" s="166"/>
      <c r="ALT152" s="166"/>
      <c r="ALU152" s="166"/>
      <c r="ALV152" s="166"/>
      <c r="ALW152" s="166"/>
      <c r="ALX152" s="166"/>
      <c r="ALY152" s="166"/>
      <c r="ALZ152" s="166"/>
      <c r="AMA152" s="166"/>
      <c r="AMB152" s="166"/>
      <c r="AMC152" s="166"/>
      <c r="AMD152" s="166"/>
      <c r="AME152" s="166"/>
      <c r="AMF152" s="166"/>
      <c r="AMG152" s="166"/>
      <c r="AMH152" s="166"/>
      <c r="AMI152" s="166"/>
      <c r="AMJ152" s="166"/>
    </row>
    <row r="153" spans="1:1024" s="167" customFormat="1">
      <c r="A153" s="231" t="s">
        <v>201</v>
      </c>
      <c r="B153" s="11" t="s">
        <v>258</v>
      </c>
      <c r="C153" s="158" t="s">
        <v>181</v>
      </c>
      <c r="D153" s="77" t="s">
        <v>259</v>
      </c>
      <c r="E153" s="171" t="s">
        <v>118</v>
      </c>
      <c r="F153" s="12">
        <f>'MEMÓRIA DE CÁLCULO'!H966</f>
        <v>1</v>
      </c>
      <c r="G153" s="12">
        <v>2962.04</v>
      </c>
      <c r="H153" s="36">
        <f t="shared" si="61"/>
        <v>3620.5</v>
      </c>
      <c r="I153" s="71">
        <f t="shared" si="62"/>
        <v>3620.5</v>
      </c>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6"/>
      <c r="CO153" s="166"/>
      <c r="CP153" s="166"/>
      <c r="CQ153" s="166"/>
      <c r="CR153" s="166"/>
      <c r="CS153" s="166"/>
      <c r="CT153" s="166"/>
      <c r="CU153" s="166"/>
      <c r="CV153" s="166"/>
      <c r="CW153" s="166"/>
      <c r="CX153" s="166"/>
      <c r="CY153" s="166"/>
      <c r="CZ153" s="166"/>
      <c r="DA153" s="166"/>
      <c r="DB153" s="166"/>
      <c r="DC153" s="166"/>
      <c r="DD153" s="166"/>
      <c r="DE153" s="166"/>
      <c r="DF153" s="166"/>
      <c r="DG153" s="166"/>
      <c r="DH153" s="166"/>
      <c r="DI153" s="166"/>
      <c r="DJ153" s="166"/>
      <c r="DK153" s="166"/>
      <c r="DL153" s="166"/>
      <c r="DM153" s="166"/>
      <c r="DN153" s="166"/>
      <c r="DO153" s="166"/>
      <c r="DP153" s="166"/>
      <c r="DQ153" s="166"/>
      <c r="DR153" s="166"/>
      <c r="DS153" s="166"/>
      <c r="DT153" s="166"/>
      <c r="DU153" s="166"/>
      <c r="DV153" s="166"/>
      <c r="DW153" s="166"/>
      <c r="DX153" s="166"/>
      <c r="DY153" s="166"/>
      <c r="DZ153" s="166"/>
      <c r="EA153" s="166"/>
      <c r="EB153" s="166"/>
      <c r="EC153" s="166"/>
      <c r="ED153" s="166"/>
      <c r="EE153" s="166"/>
      <c r="EF153" s="166"/>
      <c r="EG153" s="166"/>
      <c r="EH153" s="166"/>
      <c r="EI153" s="166"/>
      <c r="EJ153" s="166"/>
      <c r="EK153" s="166"/>
      <c r="EL153" s="166"/>
      <c r="EM153" s="166"/>
      <c r="EN153" s="166"/>
      <c r="EO153" s="166"/>
      <c r="EP153" s="166"/>
      <c r="EQ153" s="166"/>
      <c r="ER153" s="166"/>
      <c r="ES153" s="166"/>
      <c r="ET153" s="166"/>
      <c r="EU153" s="166"/>
      <c r="EV153" s="166"/>
      <c r="EW153" s="166"/>
      <c r="EX153" s="166"/>
      <c r="EY153" s="166"/>
      <c r="EZ153" s="166"/>
      <c r="FA153" s="166"/>
      <c r="FB153" s="166"/>
      <c r="FC153" s="166"/>
      <c r="FD153" s="166"/>
      <c r="FE153" s="166"/>
      <c r="FF153" s="166"/>
      <c r="FG153" s="166"/>
      <c r="FH153" s="166"/>
      <c r="FI153" s="166"/>
      <c r="FJ153" s="166"/>
      <c r="FK153" s="166"/>
      <c r="FL153" s="166"/>
      <c r="FM153" s="166"/>
      <c r="FN153" s="166"/>
      <c r="FO153" s="166"/>
      <c r="FP153" s="166"/>
      <c r="FQ153" s="166"/>
      <c r="FR153" s="166"/>
      <c r="FS153" s="166"/>
      <c r="FT153" s="166"/>
      <c r="FU153" s="166"/>
      <c r="FV153" s="166"/>
      <c r="FW153" s="166"/>
      <c r="FX153" s="166"/>
      <c r="FY153" s="166"/>
      <c r="FZ153" s="166"/>
      <c r="GA153" s="166"/>
      <c r="GB153" s="166"/>
      <c r="GC153" s="166"/>
      <c r="GD153" s="166"/>
      <c r="GE153" s="166"/>
      <c r="GF153" s="166"/>
      <c r="GG153" s="166"/>
      <c r="GH153" s="166"/>
      <c r="GI153" s="166"/>
      <c r="GJ153" s="166"/>
      <c r="GK153" s="166"/>
      <c r="GL153" s="166"/>
      <c r="GM153" s="166"/>
      <c r="GN153" s="166"/>
      <c r="GO153" s="166"/>
      <c r="GP153" s="166"/>
      <c r="GQ153" s="166"/>
      <c r="GR153" s="166"/>
      <c r="GS153" s="166"/>
      <c r="GT153" s="166"/>
      <c r="GU153" s="166"/>
      <c r="GV153" s="166"/>
      <c r="GW153" s="166"/>
      <c r="GX153" s="166"/>
      <c r="GY153" s="166"/>
      <c r="GZ153" s="166"/>
      <c r="HA153" s="166"/>
      <c r="HB153" s="166"/>
      <c r="HC153" s="166"/>
      <c r="HD153" s="166"/>
      <c r="HE153" s="166"/>
      <c r="HF153" s="166"/>
      <c r="HG153" s="166"/>
      <c r="HH153" s="166"/>
      <c r="HI153" s="166"/>
      <c r="HJ153" s="166"/>
      <c r="HK153" s="166"/>
      <c r="HL153" s="166"/>
      <c r="HM153" s="166"/>
      <c r="HN153" s="166"/>
      <c r="HO153" s="166"/>
      <c r="HP153" s="166"/>
      <c r="HQ153" s="166"/>
      <c r="HR153" s="166"/>
      <c r="HS153" s="166"/>
      <c r="HT153" s="166"/>
      <c r="HU153" s="166"/>
      <c r="HV153" s="166"/>
      <c r="HW153" s="166"/>
      <c r="HX153" s="166"/>
      <c r="HY153" s="166"/>
      <c r="HZ153" s="166"/>
      <c r="IA153" s="166"/>
      <c r="IB153" s="166"/>
      <c r="IC153" s="166"/>
      <c r="ID153" s="166"/>
      <c r="IE153" s="166"/>
      <c r="IF153" s="166"/>
      <c r="IG153" s="166"/>
      <c r="IH153" s="166"/>
      <c r="II153" s="166"/>
      <c r="IJ153" s="166"/>
      <c r="IK153" s="166"/>
      <c r="IL153" s="166"/>
      <c r="IM153" s="166"/>
      <c r="IN153" s="166"/>
      <c r="IO153" s="166"/>
      <c r="IP153" s="166"/>
      <c r="IQ153" s="166"/>
      <c r="IR153" s="166"/>
      <c r="IS153" s="166"/>
      <c r="IT153" s="166"/>
      <c r="IU153" s="166"/>
      <c r="IV153" s="166"/>
      <c r="IW153" s="166"/>
      <c r="IX153" s="166"/>
      <c r="IY153" s="166"/>
      <c r="IZ153" s="166"/>
      <c r="JA153" s="166"/>
      <c r="JB153" s="166"/>
      <c r="JC153" s="166"/>
      <c r="JD153" s="166"/>
      <c r="JE153" s="166"/>
      <c r="JF153" s="166"/>
      <c r="JG153" s="166"/>
      <c r="JH153" s="166"/>
      <c r="JI153" s="166"/>
      <c r="JJ153" s="166"/>
      <c r="JK153" s="166"/>
      <c r="JL153" s="166"/>
      <c r="JM153" s="166"/>
      <c r="JN153" s="166"/>
      <c r="JO153" s="166"/>
      <c r="JP153" s="166"/>
      <c r="JQ153" s="166"/>
      <c r="JR153" s="166"/>
      <c r="JS153" s="166"/>
      <c r="JT153" s="166"/>
      <c r="JU153" s="166"/>
      <c r="JV153" s="166"/>
      <c r="JW153" s="166"/>
      <c r="JX153" s="166"/>
      <c r="JY153" s="166"/>
      <c r="JZ153" s="166"/>
      <c r="KA153" s="166"/>
      <c r="KB153" s="166"/>
      <c r="KC153" s="166"/>
      <c r="KD153" s="166"/>
      <c r="KE153" s="166"/>
      <c r="KF153" s="166"/>
      <c r="KG153" s="166"/>
      <c r="KH153" s="166"/>
      <c r="KI153" s="166"/>
      <c r="KJ153" s="166"/>
      <c r="KK153" s="166"/>
      <c r="KL153" s="166"/>
      <c r="KM153" s="166"/>
      <c r="KN153" s="166"/>
      <c r="KO153" s="166"/>
      <c r="KP153" s="166"/>
      <c r="KQ153" s="166"/>
      <c r="KR153" s="166"/>
      <c r="KS153" s="166"/>
      <c r="KT153" s="166"/>
      <c r="KU153" s="166"/>
      <c r="KV153" s="166"/>
      <c r="KW153" s="166"/>
      <c r="KX153" s="166"/>
      <c r="KY153" s="166"/>
      <c r="KZ153" s="166"/>
      <c r="LA153" s="166"/>
      <c r="LB153" s="166"/>
      <c r="LC153" s="166"/>
      <c r="LD153" s="166"/>
      <c r="LE153" s="166"/>
      <c r="LF153" s="166"/>
      <c r="LG153" s="166"/>
      <c r="LH153" s="166"/>
      <c r="LI153" s="166"/>
      <c r="LJ153" s="166"/>
      <c r="LK153" s="166"/>
      <c r="LL153" s="166"/>
      <c r="LM153" s="166"/>
      <c r="LN153" s="166"/>
      <c r="LO153" s="166"/>
      <c r="LP153" s="166"/>
      <c r="LQ153" s="166"/>
      <c r="LR153" s="166"/>
      <c r="LS153" s="166"/>
      <c r="LT153" s="166"/>
      <c r="LU153" s="166"/>
      <c r="LV153" s="166"/>
      <c r="LW153" s="166"/>
      <c r="LX153" s="166"/>
      <c r="LY153" s="166"/>
      <c r="LZ153" s="166"/>
      <c r="MA153" s="166"/>
      <c r="MB153" s="166"/>
      <c r="MC153" s="166"/>
      <c r="MD153" s="166"/>
      <c r="ME153" s="166"/>
      <c r="MF153" s="166"/>
      <c r="MG153" s="166"/>
      <c r="MH153" s="166"/>
      <c r="MI153" s="166"/>
      <c r="MJ153" s="166"/>
      <c r="MK153" s="166"/>
      <c r="ML153" s="166"/>
      <c r="MM153" s="166"/>
      <c r="MN153" s="166"/>
      <c r="MO153" s="166"/>
      <c r="MP153" s="166"/>
      <c r="MQ153" s="166"/>
      <c r="MR153" s="166"/>
      <c r="MS153" s="166"/>
      <c r="MT153" s="166"/>
      <c r="MU153" s="166"/>
      <c r="MV153" s="166"/>
      <c r="MW153" s="166"/>
      <c r="MX153" s="166"/>
      <c r="MY153" s="166"/>
      <c r="MZ153" s="166"/>
      <c r="NA153" s="166"/>
      <c r="NB153" s="166"/>
      <c r="NC153" s="166"/>
      <c r="ND153" s="166"/>
      <c r="NE153" s="166"/>
      <c r="NF153" s="166"/>
      <c r="NG153" s="166"/>
      <c r="NH153" s="166"/>
      <c r="NI153" s="166"/>
      <c r="NJ153" s="166"/>
      <c r="NK153" s="166"/>
      <c r="NL153" s="166"/>
      <c r="NM153" s="166"/>
      <c r="NN153" s="166"/>
      <c r="NO153" s="166"/>
      <c r="NP153" s="166"/>
      <c r="NQ153" s="166"/>
      <c r="NR153" s="166"/>
      <c r="NS153" s="166"/>
      <c r="NT153" s="166"/>
      <c r="NU153" s="166"/>
      <c r="NV153" s="166"/>
      <c r="NW153" s="166"/>
      <c r="NX153" s="166"/>
      <c r="NY153" s="166"/>
      <c r="NZ153" s="166"/>
      <c r="OA153" s="166"/>
      <c r="OB153" s="166"/>
      <c r="OC153" s="166"/>
      <c r="OD153" s="166"/>
      <c r="OE153" s="166"/>
      <c r="OF153" s="166"/>
      <c r="OG153" s="166"/>
      <c r="OH153" s="166"/>
      <c r="OI153" s="166"/>
      <c r="OJ153" s="166"/>
      <c r="OK153" s="166"/>
      <c r="OL153" s="166"/>
      <c r="OM153" s="166"/>
      <c r="ON153" s="166"/>
      <c r="OO153" s="166"/>
      <c r="OP153" s="166"/>
      <c r="OQ153" s="166"/>
      <c r="OR153" s="166"/>
      <c r="OS153" s="166"/>
      <c r="OT153" s="166"/>
      <c r="OU153" s="166"/>
      <c r="OV153" s="166"/>
      <c r="OW153" s="166"/>
      <c r="OX153" s="166"/>
      <c r="OY153" s="166"/>
      <c r="OZ153" s="166"/>
      <c r="PA153" s="166"/>
      <c r="PB153" s="166"/>
      <c r="PC153" s="166"/>
      <c r="PD153" s="166"/>
      <c r="PE153" s="166"/>
      <c r="PF153" s="166"/>
      <c r="PG153" s="166"/>
      <c r="PH153" s="166"/>
      <c r="PI153" s="166"/>
      <c r="PJ153" s="166"/>
      <c r="PK153" s="166"/>
      <c r="PL153" s="166"/>
      <c r="PM153" s="166"/>
      <c r="PN153" s="166"/>
      <c r="PO153" s="166"/>
      <c r="PP153" s="166"/>
      <c r="PQ153" s="166"/>
      <c r="PR153" s="166"/>
      <c r="PS153" s="166"/>
      <c r="PT153" s="166"/>
      <c r="PU153" s="166"/>
      <c r="PV153" s="166"/>
      <c r="PW153" s="166"/>
      <c r="PX153" s="166"/>
      <c r="PY153" s="166"/>
      <c r="PZ153" s="166"/>
      <c r="QA153" s="166"/>
      <c r="QB153" s="166"/>
      <c r="QC153" s="166"/>
      <c r="QD153" s="166"/>
      <c r="QE153" s="166"/>
      <c r="QF153" s="166"/>
      <c r="QG153" s="166"/>
      <c r="QH153" s="166"/>
      <c r="QI153" s="166"/>
      <c r="QJ153" s="166"/>
      <c r="QK153" s="166"/>
      <c r="QL153" s="166"/>
      <c r="QM153" s="166"/>
      <c r="QN153" s="166"/>
      <c r="QO153" s="166"/>
      <c r="QP153" s="166"/>
      <c r="QQ153" s="166"/>
      <c r="QR153" s="166"/>
      <c r="QS153" s="166"/>
      <c r="QT153" s="166"/>
      <c r="QU153" s="166"/>
      <c r="QV153" s="166"/>
      <c r="QW153" s="166"/>
      <c r="QX153" s="166"/>
      <c r="QY153" s="166"/>
      <c r="QZ153" s="166"/>
      <c r="RA153" s="166"/>
      <c r="RB153" s="166"/>
      <c r="RC153" s="166"/>
      <c r="RD153" s="166"/>
      <c r="RE153" s="166"/>
      <c r="RF153" s="166"/>
      <c r="RG153" s="166"/>
      <c r="RH153" s="166"/>
      <c r="RI153" s="166"/>
      <c r="RJ153" s="166"/>
      <c r="RK153" s="166"/>
      <c r="RL153" s="166"/>
      <c r="RM153" s="166"/>
      <c r="RN153" s="166"/>
      <c r="RO153" s="166"/>
      <c r="RP153" s="166"/>
      <c r="RQ153" s="166"/>
      <c r="RR153" s="166"/>
      <c r="RS153" s="166"/>
      <c r="RT153" s="166"/>
      <c r="RU153" s="166"/>
      <c r="RV153" s="166"/>
      <c r="RW153" s="166"/>
      <c r="RX153" s="166"/>
      <c r="RY153" s="166"/>
      <c r="RZ153" s="166"/>
      <c r="SA153" s="166"/>
      <c r="SB153" s="166"/>
      <c r="SC153" s="166"/>
      <c r="SD153" s="166"/>
      <c r="SE153" s="166"/>
      <c r="SF153" s="166"/>
      <c r="SG153" s="166"/>
      <c r="SH153" s="166"/>
      <c r="SI153" s="166"/>
      <c r="SJ153" s="166"/>
      <c r="SK153" s="166"/>
      <c r="SL153" s="166"/>
      <c r="SM153" s="166"/>
      <c r="SN153" s="166"/>
      <c r="SO153" s="166"/>
      <c r="SP153" s="166"/>
      <c r="SQ153" s="166"/>
      <c r="SR153" s="166"/>
      <c r="SS153" s="166"/>
      <c r="ST153" s="166"/>
      <c r="SU153" s="166"/>
      <c r="SV153" s="166"/>
      <c r="SW153" s="166"/>
      <c r="SX153" s="166"/>
      <c r="SY153" s="166"/>
      <c r="SZ153" s="166"/>
      <c r="TA153" s="166"/>
      <c r="TB153" s="166"/>
      <c r="TC153" s="166"/>
      <c r="TD153" s="166"/>
      <c r="TE153" s="166"/>
      <c r="TF153" s="166"/>
      <c r="TG153" s="166"/>
      <c r="TH153" s="166"/>
      <c r="TI153" s="166"/>
      <c r="TJ153" s="166"/>
      <c r="TK153" s="166"/>
      <c r="TL153" s="166"/>
      <c r="TM153" s="166"/>
      <c r="TN153" s="166"/>
      <c r="TO153" s="166"/>
      <c r="TP153" s="166"/>
      <c r="TQ153" s="166"/>
      <c r="TR153" s="166"/>
      <c r="TS153" s="166"/>
      <c r="TT153" s="166"/>
      <c r="TU153" s="166"/>
      <c r="TV153" s="166"/>
      <c r="TW153" s="166"/>
      <c r="TX153" s="166"/>
      <c r="TY153" s="166"/>
      <c r="TZ153" s="166"/>
      <c r="UA153" s="166"/>
      <c r="UB153" s="166"/>
      <c r="UC153" s="166"/>
      <c r="UD153" s="166"/>
      <c r="UE153" s="166"/>
      <c r="UF153" s="166"/>
      <c r="UG153" s="166"/>
      <c r="UH153" s="166"/>
      <c r="UI153" s="166"/>
      <c r="UJ153" s="166"/>
      <c r="UK153" s="166"/>
      <c r="UL153" s="166"/>
      <c r="UM153" s="166"/>
      <c r="UN153" s="166"/>
      <c r="UO153" s="166"/>
      <c r="UP153" s="166"/>
      <c r="UQ153" s="166"/>
      <c r="UR153" s="166"/>
      <c r="US153" s="166"/>
      <c r="UT153" s="166"/>
      <c r="UU153" s="166"/>
      <c r="UV153" s="166"/>
      <c r="UW153" s="166"/>
      <c r="UX153" s="166"/>
      <c r="UY153" s="166"/>
      <c r="UZ153" s="166"/>
      <c r="VA153" s="166"/>
      <c r="VB153" s="166"/>
      <c r="VC153" s="166"/>
      <c r="VD153" s="166"/>
      <c r="VE153" s="166"/>
      <c r="VF153" s="166"/>
      <c r="VG153" s="166"/>
      <c r="VH153" s="166"/>
      <c r="VI153" s="166"/>
      <c r="VJ153" s="166"/>
      <c r="VK153" s="166"/>
      <c r="VL153" s="166"/>
      <c r="VM153" s="166"/>
      <c r="VN153" s="166"/>
      <c r="VO153" s="166"/>
      <c r="VP153" s="166"/>
      <c r="VQ153" s="166"/>
      <c r="VR153" s="166"/>
      <c r="VS153" s="166"/>
      <c r="VT153" s="166"/>
      <c r="VU153" s="166"/>
      <c r="VV153" s="166"/>
      <c r="VW153" s="166"/>
      <c r="VX153" s="166"/>
      <c r="VY153" s="166"/>
      <c r="VZ153" s="166"/>
      <c r="WA153" s="166"/>
      <c r="WB153" s="166"/>
      <c r="WC153" s="166"/>
      <c r="WD153" s="166"/>
      <c r="WE153" s="166"/>
      <c r="WF153" s="166"/>
      <c r="WG153" s="166"/>
      <c r="WH153" s="166"/>
      <c r="WI153" s="166"/>
      <c r="WJ153" s="166"/>
      <c r="WK153" s="166"/>
      <c r="WL153" s="166"/>
      <c r="WM153" s="166"/>
      <c r="WN153" s="166"/>
      <c r="WO153" s="166"/>
      <c r="WP153" s="166"/>
      <c r="WQ153" s="166"/>
      <c r="WR153" s="166"/>
      <c r="WS153" s="166"/>
      <c r="WT153" s="166"/>
      <c r="WU153" s="166"/>
      <c r="WV153" s="166"/>
      <c r="WW153" s="166"/>
      <c r="WX153" s="166"/>
      <c r="WY153" s="166"/>
      <c r="WZ153" s="166"/>
      <c r="XA153" s="166"/>
      <c r="XB153" s="166"/>
      <c r="XC153" s="166"/>
      <c r="XD153" s="166"/>
      <c r="XE153" s="166"/>
      <c r="XF153" s="166"/>
      <c r="XG153" s="166"/>
      <c r="XH153" s="166"/>
      <c r="XI153" s="166"/>
      <c r="XJ153" s="166"/>
      <c r="XK153" s="166"/>
      <c r="XL153" s="166"/>
      <c r="XM153" s="166"/>
      <c r="XN153" s="166"/>
      <c r="XO153" s="166"/>
      <c r="XP153" s="166"/>
      <c r="XQ153" s="166"/>
      <c r="XR153" s="166"/>
      <c r="XS153" s="166"/>
      <c r="XT153" s="166"/>
      <c r="XU153" s="166"/>
      <c r="XV153" s="166"/>
      <c r="XW153" s="166"/>
      <c r="XX153" s="166"/>
      <c r="XY153" s="166"/>
      <c r="XZ153" s="166"/>
      <c r="YA153" s="166"/>
      <c r="YB153" s="166"/>
      <c r="YC153" s="166"/>
      <c r="YD153" s="166"/>
      <c r="YE153" s="166"/>
      <c r="YF153" s="166"/>
      <c r="YG153" s="166"/>
      <c r="YH153" s="166"/>
      <c r="YI153" s="166"/>
      <c r="YJ153" s="166"/>
      <c r="YK153" s="166"/>
      <c r="YL153" s="166"/>
      <c r="YM153" s="166"/>
      <c r="YN153" s="166"/>
      <c r="YO153" s="166"/>
      <c r="YP153" s="166"/>
      <c r="YQ153" s="166"/>
      <c r="YR153" s="166"/>
      <c r="YS153" s="166"/>
      <c r="YT153" s="166"/>
      <c r="YU153" s="166"/>
      <c r="YV153" s="166"/>
      <c r="YW153" s="166"/>
      <c r="YX153" s="166"/>
      <c r="YY153" s="166"/>
      <c r="YZ153" s="166"/>
      <c r="ZA153" s="166"/>
      <c r="ZB153" s="166"/>
      <c r="ZC153" s="166"/>
      <c r="ZD153" s="166"/>
      <c r="ZE153" s="166"/>
      <c r="ZF153" s="166"/>
      <c r="ZG153" s="166"/>
      <c r="ZH153" s="166"/>
      <c r="ZI153" s="166"/>
      <c r="ZJ153" s="166"/>
      <c r="ZK153" s="166"/>
      <c r="ZL153" s="166"/>
      <c r="ZM153" s="166"/>
      <c r="ZN153" s="166"/>
      <c r="ZO153" s="166"/>
      <c r="ZP153" s="166"/>
      <c r="ZQ153" s="166"/>
      <c r="ZR153" s="166"/>
      <c r="ZS153" s="166"/>
      <c r="ZT153" s="166"/>
      <c r="ZU153" s="166"/>
      <c r="ZV153" s="166"/>
      <c r="ZW153" s="166"/>
      <c r="ZX153" s="166"/>
      <c r="ZY153" s="166"/>
      <c r="ZZ153" s="166"/>
      <c r="AAA153" s="166"/>
      <c r="AAB153" s="166"/>
      <c r="AAC153" s="166"/>
      <c r="AAD153" s="166"/>
      <c r="AAE153" s="166"/>
      <c r="AAF153" s="166"/>
      <c r="AAG153" s="166"/>
      <c r="AAH153" s="166"/>
      <c r="AAI153" s="166"/>
      <c r="AAJ153" s="166"/>
      <c r="AAK153" s="166"/>
      <c r="AAL153" s="166"/>
      <c r="AAM153" s="166"/>
      <c r="AAN153" s="166"/>
      <c r="AAO153" s="166"/>
      <c r="AAP153" s="166"/>
      <c r="AAQ153" s="166"/>
      <c r="AAR153" s="166"/>
      <c r="AAS153" s="166"/>
      <c r="AAT153" s="166"/>
      <c r="AAU153" s="166"/>
      <c r="AAV153" s="166"/>
      <c r="AAW153" s="166"/>
      <c r="AAX153" s="166"/>
      <c r="AAY153" s="166"/>
      <c r="AAZ153" s="166"/>
      <c r="ABA153" s="166"/>
      <c r="ABB153" s="166"/>
      <c r="ABC153" s="166"/>
      <c r="ABD153" s="166"/>
      <c r="ABE153" s="166"/>
      <c r="ABF153" s="166"/>
      <c r="ABG153" s="166"/>
      <c r="ABH153" s="166"/>
      <c r="ABI153" s="166"/>
      <c r="ABJ153" s="166"/>
      <c r="ABK153" s="166"/>
      <c r="ABL153" s="166"/>
      <c r="ABM153" s="166"/>
      <c r="ABN153" s="166"/>
      <c r="ABO153" s="166"/>
      <c r="ABP153" s="166"/>
      <c r="ABQ153" s="166"/>
      <c r="ABR153" s="166"/>
      <c r="ABS153" s="166"/>
      <c r="ABT153" s="166"/>
      <c r="ABU153" s="166"/>
      <c r="ABV153" s="166"/>
      <c r="ABW153" s="166"/>
      <c r="ABX153" s="166"/>
      <c r="ABY153" s="166"/>
      <c r="ABZ153" s="166"/>
      <c r="ACA153" s="166"/>
      <c r="ACB153" s="166"/>
      <c r="ACC153" s="166"/>
      <c r="ACD153" s="166"/>
      <c r="ACE153" s="166"/>
      <c r="ACF153" s="166"/>
      <c r="ACG153" s="166"/>
      <c r="ACH153" s="166"/>
      <c r="ACI153" s="166"/>
      <c r="ACJ153" s="166"/>
      <c r="ACK153" s="166"/>
      <c r="ACL153" s="166"/>
      <c r="ACM153" s="166"/>
      <c r="ACN153" s="166"/>
      <c r="ACO153" s="166"/>
      <c r="ACP153" s="166"/>
      <c r="ACQ153" s="166"/>
      <c r="ACR153" s="166"/>
      <c r="ACS153" s="166"/>
      <c r="ACT153" s="166"/>
      <c r="ACU153" s="166"/>
      <c r="ACV153" s="166"/>
      <c r="ACW153" s="166"/>
      <c r="ACX153" s="166"/>
      <c r="ACY153" s="166"/>
      <c r="ACZ153" s="166"/>
      <c r="ADA153" s="166"/>
      <c r="ADB153" s="166"/>
      <c r="ADC153" s="166"/>
      <c r="ADD153" s="166"/>
      <c r="ADE153" s="166"/>
      <c r="ADF153" s="166"/>
      <c r="ADG153" s="166"/>
      <c r="ADH153" s="166"/>
      <c r="ADI153" s="166"/>
      <c r="ADJ153" s="166"/>
      <c r="ADK153" s="166"/>
      <c r="ADL153" s="166"/>
      <c r="ADM153" s="166"/>
      <c r="ADN153" s="166"/>
      <c r="ADO153" s="166"/>
      <c r="ADP153" s="166"/>
      <c r="ADQ153" s="166"/>
      <c r="ADR153" s="166"/>
      <c r="ADS153" s="166"/>
      <c r="ADT153" s="166"/>
      <c r="ADU153" s="166"/>
      <c r="ADV153" s="166"/>
      <c r="ADW153" s="166"/>
      <c r="ADX153" s="166"/>
      <c r="ADY153" s="166"/>
      <c r="ADZ153" s="166"/>
      <c r="AEA153" s="166"/>
      <c r="AEB153" s="166"/>
      <c r="AEC153" s="166"/>
      <c r="AED153" s="166"/>
      <c r="AEE153" s="166"/>
      <c r="AEF153" s="166"/>
      <c r="AEG153" s="166"/>
      <c r="AEH153" s="166"/>
      <c r="AEI153" s="166"/>
      <c r="AEJ153" s="166"/>
      <c r="AEK153" s="166"/>
      <c r="AEL153" s="166"/>
      <c r="AEM153" s="166"/>
      <c r="AEN153" s="166"/>
      <c r="AEO153" s="166"/>
      <c r="AEP153" s="166"/>
      <c r="AEQ153" s="166"/>
      <c r="AER153" s="166"/>
      <c r="AES153" s="166"/>
      <c r="AET153" s="166"/>
      <c r="AEU153" s="166"/>
      <c r="AEV153" s="166"/>
      <c r="AEW153" s="166"/>
      <c r="AEX153" s="166"/>
      <c r="AEY153" s="166"/>
      <c r="AEZ153" s="166"/>
      <c r="AFA153" s="166"/>
      <c r="AFB153" s="166"/>
      <c r="AFC153" s="166"/>
      <c r="AFD153" s="166"/>
      <c r="AFE153" s="166"/>
      <c r="AFF153" s="166"/>
      <c r="AFG153" s="166"/>
      <c r="AFH153" s="166"/>
      <c r="AFI153" s="166"/>
      <c r="AFJ153" s="166"/>
      <c r="AFK153" s="166"/>
      <c r="AFL153" s="166"/>
      <c r="AFM153" s="166"/>
      <c r="AFN153" s="166"/>
      <c r="AFO153" s="166"/>
      <c r="AFP153" s="166"/>
      <c r="AFQ153" s="166"/>
      <c r="AFR153" s="166"/>
      <c r="AFS153" s="166"/>
      <c r="AFT153" s="166"/>
      <c r="AFU153" s="166"/>
      <c r="AFV153" s="166"/>
      <c r="AFW153" s="166"/>
      <c r="AFX153" s="166"/>
      <c r="AFY153" s="166"/>
      <c r="AFZ153" s="166"/>
      <c r="AGA153" s="166"/>
      <c r="AGB153" s="166"/>
      <c r="AGC153" s="166"/>
      <c r="AGD153" s="166"/>
      <c r="AGE153" s="166"/>
      <c r="AGF153" s="166"/>
      <c r="AGG153" s="166"/>
      <c r="AGH153" s="166"/>
      <c r="AGI153" s="166"/>
      <c r="AGJ153" s="166"/>
      <c r="AGK153" s="166"/>
      <c r="AGL153" s="166"/>
      <c r="AGM153" s="166"/>
      <c r="AGN153" s="166"/>
      <c r="AGO153" s="166"/>
      <c r="AGP153" s="166"/>
      <c r="AGQ153" s="166"/>
      <c r="AGR153" s="166"/>
      <c r="AGS153" s="166"/>
      <c r="AGT153" s="166"/>
      <c r="AGU153" s="166"/>
      <c r="AGV153" s="166"/>
      <c r="AGW153" s="166"/>
      <c r="AGX153" s="166"/>
      <c r="AGY153" s="166"/>
      <c r="AGZ153" s="166"/>
      <c r="AHA153" s="166"/>
      <c r="AHB153" s="166"/>
      <c r="AHC153" s="166"/>
      <c r="AHD153" s="166"/>
      <c r="AHE153" s="166"/>
      <c r="AHF153" s="166"/>
      <c r="AHG153" s="166"/>
      <c r="AHH153" s="166"/>
      <c r="AHI153" s="166"/>
      <c r="AHJ153" s="166"/>
      <c r="AHK153" s="166"/>
      <c r="AHL153" s="166"/>
      <c r="AHM153" s="166"/>
      <c r="AHN153" s="166"/>
      <c r="AHO153" s="166"/>
      <c r="AHP153" s="166"/>
      <c r="AHQ153" s="166"/>
      <c r="AHR153" s="166"/>
      <c r="AHS153" s="166"/>
      <c r="AHT153" s="166"/>
      <c r="AHU153" s="166"/>
      <c r="AHV153" s="166"/>
      <c r="AHW153" s="166"/>
      <c r="AHX153" s="166"/>
      <c r="AHY153" s="166"/>
      <c r="AHZ153" s="166"/>
      <c r="AIA153" s="166"/>
      <c r="AIB153" s="166"/>
      <c r="AIC153" s="166"/>
      <c r="AID153" s="166"/>
      <c r="AIE153" s="166"/>
      <c r="AIF153" s="166"/>
      <c r="AIG153" s="166"/>
      <c r="AIH153" s="166"/>
      <c r="AII153" s="166"/>
      <c r="AIJ153" s="166"/>
      <c r="AIK153" s="166"/>
      <c r="AIL153" s="166"/>
      <c r="AIM153" s="166"/>
      <c r="AIN153" s="166"/>
      <c r="AIO153" s="166"/>
      <c r="AIP153" s="166"/>
      <c r="AIQ153" s="166"/>
      <c r="AIR153" s="166"/>
      <c r="AIS153" s="166"/>
      <c r="AIT153" s="166"/>
      <c r="AIU153" s="166"/>
      <c r="AIV153" s="166"/>
      <c r="AIW153" s="166"/>
      <c r="AIX153" s="166"/>
      <c r="AIY153" s="166"/>
      <c r="AIZ153" s="166"/>
      <c r="AJA153" s="166"/>
      <c r="AJB153" s="166"/>
      <c r="AJC153" s="166"/>
      <c r="AJD153" s="166"/>
      <c r="AJE153" s="166"/>
      <c r="AJF153" s="166"/>
      <c r="AJG153" s="166"/>
      <c r="AJH153" s="166"/>
      <c r="AJI153" s="166"/>
      <c r="AJJ153" s="166"/>
      <c r="AJK153" s="166"/>
      <c r="AJL153" s="166"/>
      <c r="AJM153" s="166"/>
      <c r="AJN153" s="166"/>
      <c r="AJO153" s="166"/>
      <c r="AJP153" s="166"/>
      <c r="AJQ153" s="166"/>
      <c r="AJR153" s="166"/>
      <c r="AJS153" s="166"/>
      <c r="AJT153" s="166"/>
      <c r="AJU153" s="166"/>
      <c r="AJV153" s="166"/>
      <c r="AJW153" s="166"/>
      <c r="AJX153" s="166"/>
      <c r="AJY153" s="166"/>
      <c r="AJZ153" s="166"/>
      <c r="AKA153" s="166"/>
      <c r="AKB153" s="166"/>
      <c r="AKC153" s="166"/>
      <c r="AKD153" s="166"/>
      <c r="AKE153" s="166"/>
      <c r="AKF153" s="166"/>
      <c r="AKG153" s="166"/>
      <c r="AKH153" s="166"/>
      <c r="AKI153" s="166"/>
      <c r="AKJ153" s="166"/>
      <c r="AKK153" s="166"/>
      <c r="AKL153" s="166"/>
      <c r="AKM153" s="166"/>
      <c r="AKN153" s="166"/>
      <c r="AKO153" s="166"/>
      <c r="AKP153" s="166"/>
      <c r="AKQ153" s="166"/>
      <c r="AKR153" s="166"/>
      <c r="AKS153" s="166"/>
      <c r="AKT153" s="166"/>
      <c r="AKU153" s="166"/>
      <c r="AKV153" s="166"/>
      <c r="AKW153" s="166"/>
      <c r="AKX153" s="166"/>
      <c r="AKY153" s="166"/>
      <c r="AKZ153" s="166"/>
      <c r="ALA153" s="166"/>
      <c r="ALB153" s="166"/>
      <c r="ALC153" s="166"/>
      <c r="ALD153" s="166"/>
      <c r="ALE153" s="166"/>
      <c r="ALF153" s="166"/>
      <c r="ALG153" s="166"/>
      <c r="ALH153" s="166"/>
      <c r="ALI153" s="166"/>
      <c r="ALJ153" s="166"/>
      <c r="ALK153" s="166"/>
      <c r="ALL153" s="166"/>
      <c r="ALM153" s="166"/>
      <c r="ALN153" s="166"/>
      <c r="ALO153" s="166"/>
      <c r="ALP153" s="166"/>
      <c r="ALQ153" s="166"/>
      <c r="ALR153" s="166"/>
      <c r="ALS153" s="166"/>
      <c r="ALT153" s="166"/>
      <c r="ALU153" s="166"/>
      <c r="ALV153" s="166"/>
      <c r="ALW153" s="166"/>
      <c r="ALX153" s="166"/>
      <c r="ALY153" s="166"/>
      <c r="ALZ153" s="166"/>
      <c r="AMA153" s="166"/>
      <c r="AMB153" s="166"/>
      <c r="AMC153" s="166"/>
      <c r="AMD153" s="166"/>
      <c r="AME153" s="166"/>
      <c r="AMF153" s="166"/>
      <c r="AMG153" s="166"/>
      <c r="AMH153" s="166"/>
      <c r="AMI153" s="166"/>
      <c r="AMJ153" s="166"/>
    </row>
    <row r="154" spans="1:1024" s="26" customFormat="1" ht="25.5">
      <c r="A154" s="231" t="s">
        <v>202</v>
      </c>
      <c r="B154" s="11" t="s">
        <v>260</v>
      </c>
      <c r="C154" s="11" t="s">
        <v>13</v>
      </c>
      <c r="D154" s="24" t="s">
        <v>261</v>
      </c>
      <c r="E154" s="180" t="s">
        <v>15</v>
      </c>
      <c r="F154" s="12">
        <f>'MEMÓRIA DE CÁLCULO'!H968</f>
        <v>5.5</v>
      </c>
      <c r="G154" s="12">
        <v>55.65</v>
      </c>
      <c r="H154" s="36">
        <f t="shared" si="61"/>
        <v>68.02</v>
      </c>
      <c r="I154" s="71">
        <f t="shared" si="62"/>
        <v>374.11</v>
      </c>
    </row>
    <row r="155" spans="1:1024">
      <c r="A155" s="231" t="s">
        <v>213</v>
      </c>
      <c r="B155" s="158" t="s">
        <v>62</v>
      </c>
      <c r="C155" s="158" t="s">
        <v>12</v>
      </c>
      <c r="D155" s="77" t="s">
        <v>263</v>
      </c>
      <c r="E155" s="186" t="s">
        <v>15</v>
      </c>
      <c r="F155" s="12">
        <f>'MEMÓRIA DE CÁLCULO'!H971</f>
        <v>46.170000000000009</v>
      </c>
      <c r="G155" s="12">
        <v>202.88</v>
      </c>
      <c r="H155" s="36">
        <f t="shared" si="61"/>
        <v>247.98</v>
      </c>
      <c r="I155" s="71">
        <f t="shared" si="62"/>
        <v>11449.24</v>
      </c>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row>
    <row r="156" spans="1:1024" s="191" customFormat="1" ht="38.25">
      <c r="A156" s="231" t="s">
        <v>214</v>
      </c>
      <c r="B156" s="158">
        <v>9020</v>
      </c>
      <c r="C156" s="158" t="s">
        <v>26</v>
      </c>
      <c r="D156" s="24" t="s">
        <v>264</v>
      </c>
      <c r="E156" s="186" t="s">
        <v>118</v>
      </c>
      <c r="F156" s="12">
        <f>'MEMÓRIA DE CÁLCULO'!H997</f>
        <v>1</v>
      </c>
      <c r="G156" s="12">
        <v>7023.3</v>
      </c>
      <c r="H156" s="36">
        <f t="shared" si="61"/>
        <v>8584.58</v>
      </c>
      <c r="I156" s="71">
        <f t="shared" si="62"/>
        <v>8584.58</v>
      </c>
    </row>
    <row r="157" spans="1:1024" s="191" customFormat="1" ht="12.75">
      <c r="A157" s="231" t="s">
        <v>215</v>
      </c>
      <c r="B157" s="158" t="s">
        <v>300</v>
      </c>
      <c r="C157" s="158" t="s">
        <v>181</v>
      </c>
      <c r="D157" s="24" t="s">
        <v>295</v>
      </c>
      <c r="E157" s="189" t="s">
        <v>15</v>
      </c>
      <c r="F157" s="12">
        <f>'MEMÓRIA DE CÁLCULO'!H1000</f>
        <v>69.650000000000006</v>
      </c>
      <c r="G157" s="12">
        <v>137.19999999999999</v>
      </c>
      <c r="H157" s="36">
        <f t="shared" si="61"/>
        <v>167.7</v>
      </c>
      <c r="I157" s="71">
        <f t="shared" ref="I157:I162" si="63">ROUND(F157*H157,2)</f>
        <v>11680.31</v>
      </c>
    </row>
    <row r="158" spans="1:1024" s="191" customFormat="1" ht="12.75">
      <c r="A158" s="234" t="s">
        <v>586</v>
      </c>
      <c r="B158" s="235">
        <v>12044</v>
      </c>
      <c r="C158" s="158" t="s">
        <v>26</v>
      </c>
      <c r="D158" s="77" t="s">
        <v>600</v>
      </c>
      <c r="E158" s="247" t="s">
        <v>118</v>
      </c>
      <c r="F158" s="12">
        <f>'MEMÓRIA DE CÁLCULO'!H1003</f>
        <v>21</v>
      </c>
      <c r="G158" s="12">
        <v>115.69</v>
      </c>
      <c r="H158" s="36">
        <f t="shared" si="61"/>
        <v>141.41</v>
      </c>
      <c r="I158" s="71">
        <f t="shared" si="63"/>
        <v>2969.61</v>
      </c>
    </row>
    <row r="159" spans="1:1024" s="191" customFormat="1" ht="12.75">
      <c r="A159" s="234" t="s">
        <v>587</v>
      </c>
      <c r="B159" s="248" t="s">
        <v>589</v>
      </c>
      <c r="C159" s="248" t="s">
        <v>12</v>
      </c>
      <c r="D159" s="249" t="s">
        <v>590</v>
      </c>
      <c r="E159" s="247" t="s">
        <v>118</v>
      </c>
      <c r="F159" s="12">
        <f>'MEMÓRIA DE CÁLCULO'!H1006</f>
        <v>2</v>
      </c>
      <c r="G159" s="12">
        <v>1329.31</v>
      </c>
      <c r="H159" s="36">
        <f t="shared" si="61"/>
        <v>1624.82</v>
      </c>
      <c r="I159" s="71">
        <f t="shared" si="63"/>
        <v>3249.64</v>
      </c>
    </row>
    <row r="160" spans="1:1024" s="191" customFormat="1" ht="12.75">
      <c r="A160" s="234" t="s">
        <v>588</v>
      </c>
      <c r="B160" s="248" t="s">
        <v>591</v>
      </c>
      <c r="C160" s="248" t="s">
        <v>12</v>
      </c>
      <c r="D160" s="249" t="s">
        <v>592</v>
      </c>
      <c r="E160" s="247" t="s">
        <v>118</v>
      </c>
      <c r="F160" s="12">
        <f>'MEMÓRIA DE CÁLCULO'!H1009</f>
        <v>2</v>
      </c>
      <c r="G160" s="12">
        <v>611.25</v>
      </c>
      <c r="H160" s="36">
        <f t="shared" si="61"/>
        <v>747.13</v>
      </c>
      <c r="I160" s="71">
        <f t="shared" si="63"/>
        <v>1494.26</v>
      </c>
    </row>
    <row r="161" spans="1:60" s="191" customFormat="1" ht="12.75">
      <c r="A161" s="234" t="s">
        <v>595</v>
      </c>
      <c r="B161" s="248" t="s">
        <v>593</v>
      </c>
      <c r="C161" s="248" t="s">
        <v>12</v>
      </c>
      <c r="D161" s="249" t="s">
        <v>594</v>
      </c>
      <c r="E161" s="247" t="s">
        <v>118</v>
      </c>
      <c r="F161" s="12">
        <f>'MEMÓRIA DE CÁLCULO'!H1012</f>
        <v>1</v>
      </c>
      <c r="G161" s="12">
        <v>654</v>
      </c>
      <c r="H161" s="36">
        <f t="shared" si="61"/>
        <v>799.38</v>
      </c>
      <c r="I161" s="71">
        <f t="shared" si="63"/>
        <v>799.38</v>
      </c>
    </row>
    <row r="162" spans="1:60" s="191" customFormat="1" ht="38.25">
      <c r="A162" s="234" t="s">
        <v>599</v>
      </c>
      <c r="B162" s="250" t="s">
        <v>596</v>
      </c>
      <c r="C162" s="250" t="s">
        <v>12</v>
      </c>
      <c r="D162" s="252" t="s">
        <v>598</v>
      </c>
      <c r="E162" s="251" t="s">
        <v>15</v>
      </c>
      <c r="F162" s="12">
        <f>'MEMÓRIA DE CÁLCULO'!H1015</f>
        <v>216</v>
      </c>
      <c r="G162" s="12">
        <v>130.94</v>
      </c>
      <c r="H162" s="36">
        <f t="shared" si="61"/>
        <v>160.05000000000001</v>
      </c>
      <c r="I162" s="71">
        <f t="shared" si="63"/>
        <v>34570.800000000003</v>
      </c>
    </row>
    <row r="163" spans="1:60" s="9" customFormat="1" ht="12.75">
      <c r="A163" s="261" t="s">
        <v>291</v>
      </c>
      <c r="B163" s="262"/>
      <c r="C163" s="262"/>
      <c r="D163" s="262"/>
      <c r="E163" s="262"/>
      <c r="F163" s="262"/>
      <c r="G163" s="263"/>
      <c r="H163" s="257">
        <f>SUM(I148:I162)</f>
        <v>99385.47</v>
      </c>
      <c r="I163" s="258"/>
      <c r="J163" s="26"/>
      <c r="K163" s="10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row>
    <row r="164" spans="1:60" s="26" customFormat="1" ht="12.75">
      <c r="A164" s="73">
        <v>18</v>
      </c>
      <c r="B164" s="271"/>
      <c r="C164" s="272"/>
      <c r="D164" s="287" t="s">
        <v>64</v>
      </c>
      <c r="E164" s="288"/>
      <c r="F164" s="288"/>
      <c r="G164" s="288"/>
      <c r="H164" s="289"/>
      <c r="I164" s="10">
        <f>H166</f>
        <v>1845</v>
      </c>
    </row>
    <row r="165" spans="1:60" s="26" customFormat="1" ht="12.75">
      <c r="A165" s="170" t="s">
        <v>110</v>
      </c>
      <c r="B165" s="170" t="s">
        <v>175</v>
      </c>
      <c r="C165" s="170" t="s">
        <v>12</v>
      </c>
      <c r="D165" s="175" t="s">
        <v>176</v>
      </c>
      <c r="E165" s="170" t="s">
        <v>15</v>
      </c>
      <c r="F165" s="35">
        <f>'MEMÓRIA DE CÁLCULO'!H1020</f>
        <v>300</v>
      </c>
      <c r="G165" s="35">
        <v>5.03</v>
      </c>
      <c r="H165" s="36">
        <f t="shared" ref="H165" si="64">ROUND((G165*$I$10)+G165,2)</f>
        <v>6.15</v>
      </c>
      <c r="I165" s="71">
        <f t="shared" ref="I165" si="65">ROUND(F165*H165,2)</f>
        <v>1845</v>
      </c>
      <c r="M165" s="106"/>
    </row>
    <row r="166" spans="1:60" s="26" customFormat="1" ht="12.75">
      <c r="A166" s="265" t="s">
        <v>529</v>
      </c>
      <c r="B166" s="266"/>
      <c r="C166" s="266"/>
      <c r="D166" s="266"/>
      <c r="E166" s="266"/>
      <c r="F166" s="266"/>
      <c r="G166" s="267"/>
      <c r="H166" s="257">
        <f>SUM(I165)</f>
        <v>1845</v>
      </c>
      <c r="I166" s="258"/>
    </row>
    <row r="167" spans="1:60" s="26" customFormat="1" ht="12.75">
      <c r="A167" s="264"/>
      <c r="B167" s="264"/>
      <c r="C167" s="264"/>
      <c r="D167" s="264"/>
      <c r="E167" s="264"/>
      <c r="F167" s="264"/>
      <c r="G167" s="264"/>
      <c r="H167" s="264"/>
      <c r="I167" s="264"/>
    </row>
    <row r="168" spans="1:60" s="26" customFormat="1" ht="12.75">
      <c r="A168" s="282" t="s">
        <v>65</v>
      </c>
      <c r="B168" s="283"/>
      <c r="C168" s="283"/>
      <c r="D168" s="283"/>
      <c r="E168" s="283"/>
      <c r="F168" s="283"/>
      <c r="G168" s="284"/>
      <c r="H168" s="285">
        <f>I14+I18+I39+I43+I49+I53+I68+I76+I79+I86+I94+I108+I111+I116+I120+I142+I147+I164</f>
        <v>143692.85999999999</v>
      </c>
      <c r="I168" s="286"/>
    </row>
    <row r="169" spans="1:60" s="26" customFormat="1" ht="12.75">
      <c r="A169" s="290" t="s">
        <v>66</v>
      </c>
      <c r="B169" s="290"/>
      <c r="C169" s="290"/>
      <c r="D169" s="290"/>
      <c r="E169" s="290"/>
      <c r="F169" s="290"/>
      <c r="G169" s="290"/>
      <c r="H169" s="290"/>
      <c r="I169" s="290"/>
    </row>
    <row r="170" spans="1:60" s="26" customFormat="1" ht="12.75">
      <c r="A170" s="290" t="s">
        <v>67</v>
      </c>
      <c r="B170" s="290"/>
      <c r="C170" s="290"/>
      <c r="D170" s="290"/>
      <c r="E170" s="290"/>
      <c r="F170" s="290"/>
      <c r="G170" s="290"/>
      <c r="H170" s="290"/>
      <c r="I170" s="290"/>
    </row>
    <row r="171" spans="1:60" s="26" customFormat="1" ht="12.75">
      <c r="A171" s="126"/>
      <c r="B171" s="125"/>
      <c r="C171" s="125"/>
      <c r="D171" s="125"/>
      <c r="E171" s="125"/>
      <c r="F171" s="125"/>
      <c r="G171" s="125"/>
      <c r="H171" s="125"/>
      <c r="I171" s="125"/>
    </row>
    <row r="172" spans="1:60" s="26" customFormat="1" ht="12.75">
      <c r="A172" s="273"/>
      <c r="B172" s="273"/>
      <c r="C172" s="273"/>
      <c r="D172" s="273"/>
      <c r="E172" s="273"/>
      <c r="F172" s="273"/>
      <c r="G172" s="273"/>
      <c r="H172" s="273"/>
      <c r="I172" s="273"/>
    </row>
    <row r="173" spans="1:60" s="26" customFormat="1" ht="12.75">
      <c r="A173" s="273"/>
      <c r="B173" s="273"/>
      <c r="C173" s="273"/>
      <c r="D173" s="273"/>
      <c r="E173" s="273"/>
      <c r="F173" s="273"/>
      <c r="G173" s="273"/>
      <c r="H173" s="273"/>
      <c r="I173" s="273"/>
    </row>
    <row r="174" spans="1:60" s="9" customFormat="1" ht="12.75">
      <c r="A174" s="273"/>
      <c r="B174" s="273"/>
      <c r="C174" s="273"/>
      <c r="D174" s="273"/>
      <c r="E174" s="273"/>
      <c r="F174" s="273"/>
      <c r="G174" s="273"/>
      <c r="H174" s="273"/>
      <c r="I174" s="273"/>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row>
    <row r="175" spans="1:60" s="9" customFormat="1" ht="12.75">
      <c r="A175" s="273"/>
      <c r="B175" s="273"/>
      <c r="C175" s="273"/>
      <c r="D175" s="273"/>
      <c r="E175" s="273"/>
      <c r="F175" s="273"/>
      <c r="G175" s="273"/>
      <c r="H175" s="273"/>
      <c r="I175" s="273"/>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row>
    <row r="176" spans="1:60" s="26" customFormat="1" ht="12.75">
      <c r="A176" s="273"/>
      <c r="B176" s="273"/>
      <c r="C176" s="273"/>
      <c r="D176" s="273"/>
      <c r="E176" s="273"/>
      <c r="F176" s="273"/>
      <c r="G176" s="273"/>
      <c r="H176" s="273"/>
      <c r="I176" s="273"/>
    </row>
    <row r="177" spans="1:1024" s="26" customFormat="1" ht="12.75">
      <c r="A177" s="273"/>
      <c r="B177" s="273"/>
      <c r="C177" s="273"/>
      <c r="D177" s="273"/>
      <c r="E177" s="273"/>
      <c r="F177" s="273"/>
      <c r="G177" s="273"/>
      <c r="H177" s="273"/>
      <c r="I177" s="273"/>
    </row>
    <row r="178" spans="1:1024" s="9" customFormat="1" ht="12.75">
      <c r="A178" s="273"/>
      <c r="B178" s="273"/>
      <c r="C178" s="273"/>
      <c r="D178" s="273"/>
      <c r="E178" s="273"/>
      <c r="F178" s="273"/>
      <c r="G178" s="273"/>
      <c r="H178" s="273"/>
      <c r="I178" s="273"/>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row>
    <row r="179" spans="1:1024" s="9" customFormat="1" ht="12.75">
      <c r="A179" s="273"/>
      <c r="B179" s="273"/>
      <c r="C179" s="273"/>
      <c r="D179" s="273"/>
      <c r="E179" s="273"/>
      <c r="F179" s="273"/>
      <c r="G179" s="273"/>
      <c r="H179" s="273"/>
      <c r="I179" s="273"/>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row>
    <row r="180" spans="1:1024" s="25" customFormat="1" ht="12.75">
      <c r="A180" s="273"/>
      <c r="B180" s="273"/>
      <c r="C180" s="273"/>
      <c r="D180" s="273"/>
      <c r="E180" s="273"/>
      <c r="F180" s="273"/>
      <c r="G180" s="273"/>
      <c r="H180" s="273"/>
      <c r="I180" s="273"/>
    </row>
    <row r="182" spans="1:1024" s="9" customFormat="1" ht="12.75">
      <c r="A182" s="2"/>
      <c r="B182" s="2"/>
      <c r="C182" s="2"/>
      <c r="D182" s="67"/>
      <c r="E182" s="1"/>
      <c r="F182" s="4"/>
      <c r="G182" s="57"/>
      <c r="H182" s="3"/>
      <c r="I182" s="3"/>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row>
    <row r="184" spans="1:1024" s="28" customFormat="1">
      <c r="A184" s="2"/>
      <c r="B184" s="2"/>
      <c r="C184" s="2"/>
      <c r="D184" s="67"/>
      <c r="E184" s="1"/>
      <c r="F184" s="4"/>
      <c r="G184" s="57"/>
      <c r="H184" s="3"/>
      <c r="I184" s="3"/>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c r="IU184" s="26"/>
      <c r="IV184" s="26"/>
      <c r="IW184" s="26"/>
      <c r="IX184" s="26"/>
      <c r="IY184" s="26"/>
      <c r="IZ184" s="26"/>
      <c r="JA184" s="26"/>
      <c r="JB184" s="26"/>
      <c r="JC184" s="26"/>
      <c r="JD184" s="26"/>
      <c r="JE184" s="26"/>
      <c r="JF184" s="26"/>
      <c r="JG184" s="26"/>
      <c r="JH184" s="26"/>
      <c r="JI184" s="26"/>
      <c r="JJ184" s="26"/>
      <c r="JK184" s="26"/>
      <c r="JL184" s="26"/>
      <c r="JM184" s="26"/>
      <c r="JN184" s="26"/>
      <c r="JO184" s="26"/>
      <c r="JP184" s="26"/>
      <c r="JQ184" s="26"/>
      <c r="JR184" s="26"/>
      <c r="JS184" s="26"/>
      <c r="JT184" s="26"/>
      <c r="JU184" s="26"/>
      <c r="JV184" s="26"/>
      <c r="JW184" s="26"/>
      <c r="JX184" s="26"/>
      <c r="JY184" s="26"/>
      <c r="JZ184" s="26"/>
      <c r="KA184" s="26"/>
      <c r="KB184" s="26"/>
      <c r="KC184" s="26"/>
      <c r="KD184" s="26"/>
      <c r="KE184" s="26"/>
      <c r="KF184" s="26"/>
      <c r="KG184" s="26"/>
      <c r="KH184" s="26"/>
      <c r="KI184" s="26"/>
      <c r="KJ184" s="26"/>
      <c r="KK184" s="26"/>
      <c r="KL184" s="26"/>
      <c r="KM184" s="26"/>
      <c r="KN184" s="26"/>
      <c r="KO184" s="26"/>
      <c r="KP184" s="26"/>
      <c r="KQ184" s="26"/>
      <c r="KR184" s="26"/>
      <c r="KS184" s="26"/>
      <c r="KT184" s="26"/>
      <c r="KU184" s="26"/>
      <c r="KV184" s="26"/>
      <c r="KW184" s="26"/>
      <c r="KX184" s="26"/>
      <c r="KY184" s="26"/>
      <c r="KZ184" s="26"/>
      <c r="LA184" s="26"/>
      <c r="LB184" s="26"/>
      <c r="LC184" s="26"/>
      <c r="LD184" s="26"/>
      <c r="LE184" s="26"/>
      <c r="LF184" s="26"/>
      <c r="LG184" s="26"/>
      <c r="LH184" s="26"/>
      <c r="LI184" s="26"/>
      <c r="LJ184" s="26"/>
      <c r="LK184" s="26"/>
      <c r="LL184" s="26"/>
      <c r="LM184" s="26"/>
      <c r="LN184" s="26"/>
      <c r="LO184" s="26"/>
      <c r="LP184" s="26"/>
      <c r="LQ184" s="26"/>
      <c r="LR184" s="26"/>
      <c r="LS184" s="26"/>
      <c r="LT184" s="26"/>
      <c r="LU184" s="26"/>
      <c r="LV184" s="26"/>
      <c r="LW184" s="26"/>
      <c r="LX184" s="26"/>
      <c r="LY184" s="26"/>
      <c r="LZ184" s="26"/>
      <c r="MA184" s="26"/>
      <c r="MB184" s="26"/>
      <c r="MC184" s="26"/>
      <c r="MD184" s="26"/>
      <c r="ME184" s="26"/>
      <c r="MF184" s="26"/>
      <c r="MG184" s="26"/>
      <c r="MH184" s="26"/>
      <c r="MI184" s="26"/>
      <c r="MJ184" s="26"/>
      <c r="MK184" s="26"/>
      <c r="ML184" s="26"/>
      <c r="MM184" s="26"/>
      <c r="MN184" s="26"/>
      <c r="MO184" s="26"/>
      <c r="MP184" s="26"/>
      <c r="MQ184" s="26"/>
      <c r="MR184" s="26"/>
      <c r="MS184" s="26"/>
      <c r="MT184" s="26"/>
      <c r="MU184" s="26"/>
      <c r="MV184" s="26"/>
      <c r="MW184" s="26"/>
      <c r="MX184" s="26"/>
      <c r="MY184" s="26"/>
      <c r="MZ184" s="26"/>
      <c r="NA184" s="26"/>
      <c r="NB184" s="26"/>
      <c r="NC184" s="26"/>
      <c r="ND184" s="26"/>
      <c r="NE184" s="26"/>
      <c r="NF184" s="26"/>
      <c r="NG184" s="26"/>
      <c r="NH184" s="26"/>
      <c r="NI184" s="26"/>
      <c r="NJ184" s="26"/>
      <c r="NK184" s="26"/>
      <c r="NL184" s="26"/>
      <c r="NM184" s="26"/>
      <c r="NN184" s="26"/>
      <c r="NO184" s="26"/>
      <c r="NP184" s="26"/>
      <c r="NQ184" s="26"/>
      <c r="NR184" s="26"/>
      <c r="NS184" s="26"/>
      <c r="NT184" s="26"/>
      <c r="NU184" s="26"/>
      <c r="NV184" s="26"/>
      <c r="NW184" s="26"/>
      <c r="NX184" s="26"/>
      <c r="NY184" s="26"/>
      <c r="NZ184" s="26"/>
      <c r="OA184" s="26"/>
      <c r="OB184" s="26"/>
      <c r="OC184" s="26"/>
      <c r="OD184" s="26"/>
      <c r="OE184" s="26"/>
      <c r="OF184" s="26"/>
      <c r="OG184" s="26"/>
      <c r="OH184" s="26"/>
      <c r="OI184" s="26"/>
      <c r="OJ184" s="26"/>
      <c r="OK184" s="26"/>
      <c r="OL184" s="26"/>
      <c r="OM184" s="26"/>
      <c r="ON184" s="26"/>
      <c r="OO184" s="26"/>
      <c r="OP184" s="26"/>
      <c r="OQ184" s="26"/>
      <c r="OR184" s="26"/>
      <c r="OS184" s="26"/>
      <c r="OT184" s="26"/>
      <c r="OU184" s="26"/>
      <c r="OV184" s="26"/>
      <c r="OW184" s="26"/>
      <c r="OX184" s="26"/>
      <c r="OY184" s="26"/>
      <c r="OZ184" s="26"/>
      <c r="PA184" s="26"/>
      <c r="PB184" s="26"/>
      <c r="PC184" s="26"/>
      <c r="PD184" s="26"/>
      <c r="PE184" s="26"/>
      <c r="PF184" s="26"/>
      <c r="PG184" s="26"/>
      <c r="PH184" s="26"/>
      <c r="PI184" s="26"/>
      <c r="PJ184" s="26"/>
      <c r="PK184" s="26"/>
      <c r="PL184" s="26"/>
      <c r="PM184" s="26"/>
      <c r="PN184" s="26"/>
      <c r="PO184" s="26"/>
      <c r="PP184" s="26"/>
      <c r="PQ184" s="26"/>
      <c r="PR184" s="26"/>
      <c r="PS184" s="26"/>
      <c r="PT184" s="26"/>
      <c r="PU184" s="26"/>
      <c r="PV184" s="26"/>
      <c r="PW184" s="26"/>
      <c r="PX184" s="26"/>
      <c r="PY184" s="26"/>
      <c r="PZ184" s="26"/>
      <c r="QA184" s="26"/>
      <c r="QB184" s="26"/>
      <c r="QC184" s="26"/>
      <c r="QD184" s="26"/>
      <c r="QE184" s="26"/>
      <c r="QF184" s="26"/>
      <c r="QG184" s="26"/>
      <c r="QH184" s="26"/>
      <c r="QI184" s="26"/>
      <c r="QJ184" s="26"/>
      <c r="QK184" s="26"/>
      <c r="QL184" s="26"/>
      <c r="QM184" s="26"/>
      <c r="QN184" s="26"/>
      <c r="QO184" s="26"/>
      <c r="QP184" s="26"/>
      <c r="QQ184" s="26"/>
      <c r="QR184" s="26"/>
      <c r="QS184" s="26"/>
      <c r="QT184" s="26"/>
      <c r="QU184" s="26"/>
      <c r="QV184" s="26"/>
      <c r="QW184" s="26"/>
      <c r="QX184" s="26"/>
      <c r="QY184" s="26"/>
      <c r="QZ184" s="26"/>
      <c r="RA184" s="26"/>
      <c r="RB184" s="26"/>
      <c r="RC184" s="26"/>
      <c r="RD184" s="26"/>
      <c r="RE184" s="26"/>
      <c r="RF184" s="26"/>
      <c r="RG184" s="26"/>
      <c r="RH184" s="26"/>
      <c r="RI184" s="26"/>
      <c r="RJ184" s="26"/>
      <c r="RK184" s="26"/>
      <c r="RL184" s="26"/>
      <c r="RM184" s="26"/>
      <c r="RN184" s="26"/>
      <c r="RO184" s="26"/>
      <c r="RP184" s="26"/>
      <c r="RQ184" s="26"/>
      <c r="RR184" s="26"/>
      <c r="RS184" s="26"/>
      <c r="RT184" s="26"/>
      <c r="RU184" s="26"/>
      <c r="RV184" s="26"/>
      <c r="RW184" s="26"/>
      <c r="RX184" s="26"/>
      <c r="RY184" s="26"/>
      <c r="RZ184" s="26"/>
      <c r="SA184" s="26"/>
      <c r="SB184" s="26"/>
      <c r="SC184" s="26"/>
      <c r="SD184" s="26"/>
      <c r="SE184" s="26"/>
      <c r="SF184" s="26"/>
      <c r="SG184" s="26"/>
      <c r="SH184" s="26"/>
      <c r="SI184" s="26"/>
      <c r="SJ184" s="26"/>
      <c r="SK184" s="26"/>
      <c r="SL184" s="26"/>
      <c r="SM184" s="26"/>
      <c r="SN184" s="26"/>
      <c r="SO184" s="26"/>
      <c r="SP184" s="26"/>
      <c r="SQ184" s="26"/>
      <c r="SR184" s="26"/>
      <c r="SS184" s="26"/>
      <c r="ST184" s="26"/>
      <c r="SU184" s="26"/>
      <c r="SV184" s="26"/>
      <c r="SW184" s="26"/>
      <c r="SX184" s="26"/>
      <c r="SY184" s="26"/>
      <c r="SZ184" s="26"/>
      <c r="TA184" s="26"/>
      <c r="TB184" s="26"/>
      <c r="TC184" s="26"/>
      <c r="TD184" s="26"/>
      <c r="TE184" s="26"/>
      <c r="TF184" s="26"/>
      <c r="TG184" s="26"/>
      <c r="TH184" s="26"/>
      <c r="TI184" s="26"/>
      <c r="TJ184" s="26"/>
      <c r="TK184" s="26"/>
      <c r="TL184" s="26"/>
      <c r="TM184" s="26"/>
      <c r="TN184" s="26"/>
      <c r="TO184" s="26"/>
      <c r="TP184" s="26"/>
      <c r="TQ184" s="26"/>
      <c r="TR184" s="26"/>
      <c r="TS184" s="26"/>
      <c r="TT184" s="26"/>
      <c r="TU184" s="26"/>
      <c r="TV184" s="26"/>
      <c r="TW184" s="26"/>
      <c r="TX184" s="26"/>
      <c r="TY184" s="26"/>
      <c r="TZ184" s="26"/>
      <c r="UA184" s="26"/>
      <c r="UB184" s="26"/>
      <c r="UC184" s="26"/>
      <c r="UD184" s="26"/>
      <c r="UE184" s="26"/>
      <c r="UF184" s="26"/>
      <c r="UG184" s="26"/>
      <c r="UH184" s="26"/>
      <c r="UI184" s="26"/>
      <c r="UJ184" s="26"/>
      <c r="UK184" s="26"/>
      <c r="UL184" s="26"/>
      <c r="UM184" s="26"/>
      <c r="UN184" s="26"/>
      <c r="UO184" s="26"/>
      <c r="UP184" s="26"/>
      <c r="UQ184" s="26"/>
      <c r="UR184" s="26"/>
      <c r="US184" s="26"/>
      <c r="UT184" s="26"/>
      <c r="UU184" s="26"/>
      <c r="UV184" s="26"/>
      <c r="UW184" s="26"/>
      <c r="UX184" s="26"/>
      <c r="UY184" s="26"/>
      <c r="UZ184" s="26"/>
      <c r="VA184" s="26"/>
      <c r="VB184" s="26"/>
      <c r="VC184" s="26"/>
      <c r="VD184" s="26"/>
      <c r="VE184" s="26"/>
      <c r="VF184" s="26"/>
      <c r="VG184" s="26"/>
      <c r="VH184" s="26"/>
      <c r="VI184" s="26"/>
      <c r="VJ184" s="26"/>
      <c r="VK184" s="26"/>
      <c r="VL184" s="26"/>
      <c r="VM184" s="26"/>
      <c r="VN184" s="26"/>
      <c r="VO184" s="26"/>
      <c r="VP184" s="26"/>
      <c r="VQ184" s="26"/>
      <c r="VR184" s="26"/>
      <c r="VS184" s="26"/>
      <c r="VT184" s="26"/>
      <c r="VU184" s="26"/>
      <c r="VV184" s="26"/>
      <c r="VW184" s="26"/>
      <c r="VX184" s="26"/>
      <c r="VY184" s="26"/>
      <c r="VZ184" s="26"/>
      <c r="WA184" s="26"/>
      <c r="WB184" s="26"/>
      <c r="WC184" s="26"/>
      <c r="WD184" s="26"/>
      <c r="WE184" s="26"/>
      <c r="WF184" s="26"/>
      <c r="WG184" s="26"/>
      <c r="WH184" s="26"/>
      <c r="WI184" s="26"/>
      <c r="WJ184" s="26"/>
      <c r="WK184" s="26"/>
      <c r="WL184" s="26"/>
      <c r="WM184" s="26"/>
      <c r="WN184" s="26"/>
      <c r="WO184" s="26"/>
      <c r="WP184" s="26"/>
      <c r="WQ184" s="26"/>
      <c r="WR184" s="26"/>
      <c r="WS184" s="26"/>
      <c r="WT184" s="26"/>
      <c r="WU184" s="26"/>
      <c r="WV184" s="26"/>
      <c r="WW184" s="26"/>
      <c r="WX184" s="26"/>
      <c r="WY184" s="26"/>
      <c r="WZ184" s="26"/>
      <c r="XA184" s="26"/>
      <c r="XB184" s="26"/>
      <c r="XC184" s="26"/>
      <c r="XD184" s="26"/>
      <c r="XE184" s="26"/>
      <c r="XF184" s="26"/>
      <c r="XG184" s="26"/>
      <c r="XH184" s="26"/>
      <c r="XI184" s="26"/>
      <c r="XJ184" s="26"/>
      <c r="XK184" s="26"/>
      <c r="XL184" s="26"/>
      <c r="XM184" s="26"/>
      <c r="XN184" s="26"/>
      <c r="XO184" s="26"/>
      <c r="XP184" s="26"/>
      <c r="XQ184" s="26"/>
      <c r="XR184" s="26"/>
      <c r="XS184" s="26"/>
      <c r="XT184" s="26"/>
      <c r="XU184" s="26"/>
      <c r="XV184" s="26"/>
      <c r="XW184" s="26"/>
      <c r="XX184" s="26"/>
      <c r="XY184" s="26"/>
      <c r="XZ184" s="26"/>
      <c r="YA184" s="26"/>
      <c r="YB184" s="26"/>
      <c r="YC184" s="26"/>
      <c r="YD184" s="26"/>
      <c r="YE184" s="26"/>
      <c r="YF184" s="26"/>
      <c r="YG184" s="26"/>
      <c r="YH184" s="26"/>
      <c r="YI184" s="26"/>
      <c r="YJ184" s="26"/>
      <c r="YK184" s="26"/>
      <c r="YL184" s="26"/>
      <c r="YM184" s="26"/>
      <c r="YN184" s="26"/>
      <c r="YO184" s="26"/>
      <c r="YP184" s="26"/>
      <c r="YQ184" s="26"/>
      <c r="YR184" s="26"/>
      <c r="YS184" s="26"/>
      <c r="YT184" s="26"/>
      <c r="YU184" s="26"/>
      <c r="YV184" s="26"/>
      <c r="YW184" s="26"/>
      <c r="YX184" s="26"/>
      <c r="YY184" s="26"/>
      <c r="YZ184" s="26"/>
      <c r="ZA184" s="26"/>
      <c r="ZB184" s="26"/>
      <c r="ZC184" s="26"/>
      <c r="ZD184" s="26"/>
      <c r="ZE184" s="26"/>
      <c r="ZF184" s="26"/>
      <c r="ZG184" s="26"/>
      <c r="ZH184" s="26"/>
      <c r="ZI184" s="26"/>
      <c r="ZJ184" s="26"/>
      <c r="ZK184" s="26"/>
      <c r="ZL184" s="26"/>
      <c r="ZM184" s="26"/>
      <c r="ZN184" s="26"/>
      <c r="ZO184" s="26"/>
      <c r="ZP184" s="26"/>
      <c r="ZQ184" s="26"/>
      <c r="ZR184" s="26"/>
      <c r="ZS184" s="26"/>
      <c r="ZT184" s="26"/>
      <c r="ZU184" s="26"/>
      <c r="ZV184" s="26"/>
      <c r="ZW184" s="26"/>
      <c r="ZX184" s="26"/>
      <c r="ZY184" s="26"/>
      <c r="ZZ184" s="26"/>
      <c r="AAA184" s="26"/>
      <c r="AAB184" s="26"/>
      <c r="AAC184" s="26"/>
      <c r="AAD184" s="26"/>
      <c r="AAE184" s="26"/>
      <c r="AAF184" s="26"/>
      <c r="AAG184" s="26"/>
      <c r="AAH184" s="26"/>
      <c r="AAI184" s="26"/>
      <c r="AAJ184" s="26"/>
      <c r="AAK184" s="26"/>
      <c r="AAL184" s="26"/>
      <c r="AAM184" s="26"/>
      <c r="AAN184" s="26"/>
      <c r="AAO184" s="26"/>
      <c r="AAP184" s="26"/>
      <c r="AAQ184" s="26"/>
      <c r="AAR184" s="26"/>
      <c r="AAS184" s="26"/>
      <c r="AAT184" s="26"/>
      <c r="AAU184" s="26"/>
      <c r="AAV184" s="26"/>
      <c r="AAW184" s="26"/>
      <c r="AAX184" s="26"/>
      <c r="AAY184" s="26"/>
      <c r="AAZ184" s="26"/>
      <c r="ABA184" s="26"/>
      <c r="ABB184" s="26"/>
      <c r="ABC184" s="26"/>
      <c r="ABD184" s="26"/>
      <c r="ABE184" s="26"/>
      <c r="ABF184" s="26"/>
      <c r="ABG184" s="26"/>
      <c r="ABH184" s="26"/>
      <c r="ABI184" s="26"/>
      <c r="ABJ184" s="26"/>
      <c r="ABK184" s="26"/>
      <c r="ABL184" s="26"/>
      <c r="ABM184" s="26"/>
      <c r="ABN184" s="26"/>
      <c r="ABO184" s="26"/>
      <c r="ABP184" s="26"/>
      <c r="ABQ184" s="26"/>
      <c r="ABR184" s="26"/>
      <c r="ABS184" s="26"/>
      <c r="ABT184" s="26"/>
      <c r="ABU184" s="26"/>
      <c r="ABV184" s="26"/>
      <c r="ABW184" s="26"/>
      <c r="ABX184" s="26"/>
      <c r="ABY184" s="26"/>
      <c r="ABZ184" s="26"/>
      <c r="ACA184" s="26"/>
      <c r="ACB184" s="26"/>
      <c r="ACC184" s="26"/>
      <c r="ACD184" s="26"/>
      <c r="ACE184" s="26"/>
      <c r="ACF184" s="26"/>
      <c r="ACG184" s="26"/>
      <c r="ACH184" s="26"/>
      <c r="ACI184" s="26"/>
      <c r="ACJ184" s="26"/>
      <c r="ACK184" s="26"/>
      <c r="ACL184" s="26"/>
      <c r="ACM184" s="26"/>
      <c r="ACN184" s="26"/>
      <c r="ACO184" s="26"/>
      <c r="ACP184" s="26"/>
      <c r="ACQ184" s="26"/>
      <c r="ACR184" s="26"/>
      <c r="ACS184" s="26"/>
      <c r="ACT184" s="26"/>
      <c r="ACU184" s="26"/>
      <c r="ACV184" s="26"/>
      <c r="ACW184" s="26"/>
      <c r="ACX184" s="26"/>
      <c r="ACY184" s="26"/>
      <c r="ACZ184" s="26"/>
      <c r="ADA184" s="26"/>
      <c r="ADB184" s="26"/>
      <c r="ADC184" s="26"/>
      <c r="ADD184" s="26"/>
      <c r="ADE184" s="26"/>
      <c r="ADF184" s="26"/>
      <c r="ADG184" s="26"/>
      <c r="ADH184" s="26"/>
      <c r="ADI184" s="26"/>
      <c r="ADJ184" s="26"/>
      <c r="ADK184" s="26"/>
      <c r="ADL184" s="26"/>
      <c r="ADM184" s="26"/>
      <c r="ADN184" s="26"/>
      <c r="ADO184" s="26"/>
      <c r="ADP184" s="26"/>
      <c r="ADQ184" s="26"/>
      <c r="ADR184" s="26"/>
      <c r="ADS184" s="26"/>
      <c r="ADT184" s="26"/>
      <c r="ADU184" s="26"/>
      <c r="ADV184" s="26"/>
      <c r="ADW184" s="26"/>
      <c r="ADX184" s="26"/>
      <c r="ADY184" s="26"/>
      <c r="ADZ184" s="26"/>
      <c r="AEA184" s="26"/>
      <c r="AEB184" s="26"/>
      <c r="AEC184" s="26"/>
      <c r="AED184" s="26"/>
      <c r="AEE184" s="26"/>
      <c r="AEF184" s="26"/>
      <c r="AEG184" s="26"/>
      <c r="AEH184" s="26"/>
      <c r="AEI184" s="26"/>
      <c r="AEJ184" s="26"/>
      <c r="AEK184" s="26"/>
      <c r="AEL184" s="26"/>
      <c r="AEM184" s="26"/>
      <c r="AEN184" s="26"/>
      <c r="AEO184" s="26"/>
      <c r="AEP184" s="26"/>
      <c r="AEQ184" s="26"/>
      <c r="AER184" s="26"/>
      <c r="AES184" s="26"/>
      <c r="AET184" s="26"/>
      <c r="AEU184" s="26"/>
      <c r="AEV184" s="26"/>
      <c r="AEW184" s="26"/>
      <c r="AEX184" s="26"/>
      <c r="AEY184" s="26"/>
      <c r="AEZ184" s="26"/>
      <c r="AFA184" s="26"/>
      <c r="AFB184" s="26"/>
      <c r="AFC184" s="26"/>
      <c r="AFD184" s="26"/>
      <c r="AFE184" s="26"/>
      <c r="AFF184" s="26"/>
      <c r="AFG184" s="26"/>
      <c r="AFH184" s="26"/>
      <c r="AFI184" s="26"/>
      <c r="AFJ184" s="26"/>
      <c r="AFK184" s="26"/>
      <c r="AFL184" s="26"/>
      <c r="AFM184" s="26"/>
      <c r="AFN184" s="26"/>
      <c r="AFO184" s="26"/>
      <c r="AFP184" s="26"/>
      <c r="AFQ184" s="26"/>
      <c r="AFR184" s="26"/>
      <c r="AFS184" s="26"/>
      <c r="AFT184" s="26"/>
      <c r="AFU184" s="26"/>
      <c r="AFV184" s="26"/>
      <c r="AFW184" s="26"/>
      <c r="AFX184" s="26"/>
      <c r="AFY184" s="26"/>
      <c r="AFZ184" s="26"/>
      <c r="AGA184" s="26"/>
      <c r="AGB184" s="26"/>
      <c r="AGC184" s="26"/>
      <c r="AGD184" s="26"/>
      <c r="AGE184" s="26"/>
      <c r="AGF184" s="26"/>
      <c r="AGG184" s="26"/>
      <c r="AGH184" s="26"/>
      <c r="AGI184" s="26"/>
      <c r="AGJ184" s="26"/>
      <c r="AGK184" s="26"/>
      <c r="AGL184" s="26"/>
      <c r="AGM184" s="26"/>
      <c r="AGN184" s="26"/>
      <c r="AGO184" s="26"/>
      <c r="AGP184" s="26"/>
      <c r="AGQ184" s="26"/>
      <c r="AGR184" s="26"/>
      <c r="AGS184" s="26"/>
      <c r="AGT184" s="26"/>
      <c r="AGU184" s="26"/>
      <c r="AGV184" s="26"/>
      <c r="AGW184" s="26"/>
      <c r="AGX184" s="26"/>
      <c r="AGY184" s="26"/>
      <c r="AGZ184" s="26"/>
      <c r="AHA184" s="26"/>
      <c r="AHB184" s="26"/>
      <c r="AHC184" s="26"/>
      <c r="AHD184" s="26"/>
      <c r="AHE184" s="26"/>
      <c r="AHF184" s="26"/>
      <c r="AHG184" s="26"/>
      <c r="AHH184" s="26"/>
      <c r="AHI184" s="26"/>
      <c r="AHJ184" s="26"/>
      <c r="AHK184" s="26"/>
      <c r="AHL184" s="26"/>
      <c r="AHM184" s="26"/>
      <c r="AHN184" s="26"/>
      <c r="AHO184" s="26"/>
      <c r="AHP184" s="26"/>
      <c r="AHQ184" s="26"/>
      <c r="AHR184" s="26"/>
      <c r="AHS184" s="26"/>
      <c r="AHT184" s="26"/>
      <c r="AHU184" s="26"/>
      <c r="AHV184" s="26"/>
      <c r="AHW184" s="26"/>
      <c r="AHX184" s="26"/>
      <c r="AHY184" s="26"/>
      <c r="AHZ184" s="26"/>
      <c r="AIA184" s="26"/>
      <c r="AIB184" s="26"/>
      <c r="AIC184" s="26"/>
      <c r="AID184" s="26"/>
      <c r="AIE184" s="26"/>
      <c r="AIF184" s="26"/>
      <c r="AIG184" s="26"/>
      <c r="AIH184" s="26"/>
      <c r="AII184" s="26"/>
      <c r="AIJ184" s="26"/>
      <c r="AIK184" s="26"/>
      <c r="AIL184" s="26"/>
      <c r="AIM184" s="26"/>
      <c r="AIN184" s="26"/>
      <c r="AIO184" s="26"/>
      <c r="AIP184" s="26"/>
      <c r="AIQ184" s="26"/>
      <c r="AIR184" s="26"/>
      <c r="AIS184" s="26"/>
      <c r="AIT184" s="26"/>
      <c r="AIU184" s="26"/>
      <c r="AIV184" s="26"/>
      <c r="AIW184" s="26"/>
      <c r="AIX184" s="26"/>
      <c r="AIY184" s="26"/>
      <c r="AIZ184" s="26"/>
      <c r="AJA184" s="26"/>
      <c r="AJB184" s="26"/>
      <c r="AJC184" s="26"/>
      <c r="AJD184" s="26"/>
      <c r="AJE184" s="26"/>
      <c r="AJF184" s="26"/>
      <c r="AJG184" s="26"/>
      <c r="AJH184" s="26"/>
      <c r="AJI184" s="26"/>
      <c r="AJJ184" s="26"/>
      <c r="AJK184" s="26"/>
      <c r="AJL184" s="26"/>
      <c r="AJM184" s="26"/>
      <c r="AJN184" s="26"/>
      <c r="AJO184" s="26"/>
      <c r="AJP184" s="26"/>
      <c r="AJQ184" s="26"/>
      <c r="AJR184" s="26"/>
      <c r="AJS184" s="26"/>
      <c r="AJT184" s="26"/>
      <c r="AJU184" s="26"/>
      <c r="AJV184" s="26"/>
      <c r="AJW184" s="26"/>
      <c r="AJX184" s="26"/>
      <c r="AJY184" s="26"/>
      <c r="AJZ184" s="26"/>
      <c r="AKA184" s="26"/>
      <c r="AKB184" s="26"/>
      <c r="AKC184" s="26"/>
      <c r="AKD184" s="26"/>
      <c r="AKE184" s="26"/>
      <c r="AKF184" s="26"/>
      <c r="AKG184" s="26"/>
      <c r="AKH184" s="26"/>
      <c r="AKI184" s="26"/>
      <c r="AKJ184" s="26"/>
      <c r="AKK184" s="26"/>
      <c r="AKL184" s="26"/>
      <c r="AKM184" s="26"/>
      <c r="AKN184" s="26"/>
      <c r="AKO184" s="26"/>
      <c r="AKP184" s="26"/>
      <c r="AKQ184" s="26"/>
      <c r="AKR184" s="26"/>
      <c r="AKS184" s="26"/>
      <c r="AKT184" s="26"/>
      <c r="AKU184" s="26"/>
      <c r="AKV184" s="26"/>
      <c r="AKW184" s="26"/>
      <c r="AKX184" s="26"/>
      <c r="AKY184" s="26"/>
      <c r="AKZ184" s="26"/>
      <c r="ALA184" s="26"/>
      <c r="ALB184" s="26"/>
      <c r="ALC184" s="26"/>
      <c r="ALD184" s="26"/>
      <c r="ALE184" s="26"/>
      <c r="ALF184" s="26"/>
      <c r="ALG184" s="26"/>
      <c r="ALH184" s="26"/>
      <c r="ALI184" s="26"/>
      <c r="ALJ184" s="26"/>
      <c r="ALK184" s="26"/>
      <c r="ALL184" s="26"/>
      <c r="ALM184" s="26"/>
      <c r="ALN184" s="26"/>
      <c r="ALO184" s="26"/>
      <c r="ALP184" s="26"/>
      <c r="ALQ184" s="26"/>
      <c r="ALR184" s="26"/>
      <c r="ALS184" s="26"/>
      <c r="ALT184" s="26"/>
      <c r="ALU184" s="26"/>
      <c r="ALV184" s="26"/>
      <c r="ALW184" s="26"/>
      <c r="ALX184" s="26"/>
      <c r="ALY184" s="26"/>
      <c r="ALZ184" s="26"/>
      <c r="AMA184" s="26"/>
      <c r="AMB184" s="26"/>
      <c r="AMC184" s="26"/>
      <c r="AMD184" s="26"/>
      <c r="AME184" s="26"/>
      <c r="AMF184" s="26"/>
      <c r="AMG184" s="26"/>
      <c r="AMH184" s="26"/>
      <c r="AMI184" s="26"/>
      <c r="AMJ184" s="26"/>
    </row>
    <row r="185" spans="1:1024" s="28" customFormat="1">
      <c r="A185" s="2"/>
      <c r="B185" s="2"/>
      <c r="C185" s="2"/>
      <c r="D185" s="67"/>
      <c r="E185" s="1"/>
      <c r="F185" s="4"/>
      <c r="G185" s="57"/>
      <c r="H185" s="3"/>
      <c r="I185" s="3"/>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c r="IU185" s="26"/>
      <c r="IV185" s="26"/>
      <c r="IW185" s="26"/>
      <c r="IX185" s="26"/>
      <c r="IY185" s="26"/>
      <c r="IZ185" s="26"/>
      <c r="JA185" s="26"/>
      <c r="JB185" s="26"/>
      <c r="JC185" s="26"/>
      <c r="JD185" s="26"/>
      <c r="JE185" s="26"/>
      <c r="JF185" s="26"/>
      <c r="JG185" s="26"/>
      <c r="JH185" s="26"/>
      <c r="JI185" s="26"/>
      <c r="JJ185" s="26"/>
      <c r="JK185" s="26"/>
      <c r="JL185" s="26"/>
      <c r="JM185" s="26"/>
      <c r="JN185" s="26"/>
      <c r="JO185" s="26"/>
      <c r="JP185" s="26"/>
      <c r="JQ185" s="26"/>
      <c r="JR185" s="26"/>
      <c r="JS185" s="26"/>
      <c r="JT185" s="26"/>
      <c r="JU185" s="26"/>
      <c r="JV185" s="26"/>
      <c r="JW185" s="26"/>
      <c r="JX185" s="26"/>
      <c r="JY185" s="26"/>
      <c r="JZ185" s="26"/>
      <c r="KA185" s="26"/>
      <c r="KB185" s="26"/>
      <c r="KC185" s="26"/>
      <c r="KD185" s="26"/>
      <c r="KE185" s="26"/>
      <c r="KF185" s="26"/>
      <c r="KG185" s="26"/>
      <c r="KH185" s="26"/>
      <c r="KI185" s="26"/>
      <c r="KJ185" s="26"/>
      <c r="KK185" s="26"/>
      <c r="KL185" s="26"/>
      <c r="KM185" s="26"/>
      <c r="KN185" s="26"/>
      <c r="KO185" s="26"/>
      <c r="KP185" s="26"/>
      <c r="KQ185" s="26"/>
      <c r="KR185" s="26"/>
      <c r="KS185" s="26"/>
      <c r="KT185" s="26"/>
      <c r="KU185" s="26"/>
      <c r="KV185" s="26"/>
      <c r="KW185" s="26"/>
      <c r="KX185" s="26"/>
      <c r="KY185" s="26"/>
      <c r="KZ185" s="26"/>
      <c r="LA185" s="26"/>
      <c r="LB185" s="26"/>
      <c r="LC185" s="26"/>
      <c r="LD185" s="26"/>
      <c r="LE185" s="26"/>
      <c r="LF185" s="26"/>
      <c r="LG185" s="26"/>
      <c r="LH185" s="26"/>
      <c r="LI185" s="26"/>
      <c r="LJ185" s="26"/>
      <c r="LK185" s="26"/>
      <c r="LL185" s="26"/>
      <c r="LM185" s="26"/>
      <c r="LN185" s="26"/>
      <c r="LO185" s="26"/>
      <c r="LP185" s="26"/>
      <c r="LQ185" s="26"/>
      <c r="LR185" s="26"/>
      <c r="LS185" s="26"/>
      <c r="LT185" s="26"/>
      <c r="LU185" s="26"/>
      <c r="LV185" s="26"/>
      <c r="LW185" s="26"/>
      <c r="LX185" s="26"/>
      <c r="LY185" s="26"/>
      <c r="LZ185" s="26"/>
      <c r="MA185" s="26"/>
      <c r="MB185" s="26"/>
      <c r="MC185" s="26"/>
      <c r="MD185" s="26"/>
      <c r="ME185" s="26"/>
      <c r="MF185" s="26"/>
      <c r="MG185" s="26"/>
      <c r="MH185" s="26"/>
      <c r="MI185" s="26"/>
      <c r="MJ185" s="26"/>
      <c r="MK185" s="26"/>
      <c r="ML185" s="26"/>
      <c r="MM185" s="26"/>
      <c r="MN185" s="26"/>
      <c r="MO185" s="26"/>
      <c r="MP185" s="26"/>
      <c r="MQ185" s="26"/>
      <c r="MR185" s="26"/>
      <c r="MS185" s="26"/>
      <c r="MT185" s="26"/>
      <c r="MU185" s="26"/>
      <c r="MV185" s="26"/>
      <c r="MW185" s="26"/>
      <c r="MX185" s="26"/>
      <c r="MY185" s="26"/>
      <c r="MZ185" s="26"/>
      <c r="NA185" s="26"/>
      <c r="NB185" s="26"/>
      <c r="NC185" s="26"/>
      <c r="ND185" s="26"/>
      <c r="NE185" s="26"/>
      <c r="NF185" s="26"/>
      <c r="NG185" s="26"/>
      <c r="NH185" s="26"/>
      <c r="NI185" s="26"/>
      <c r="NJ185" s="26"/>
      <c r="NK185" s="26"/>
      <c r="NL185" s="26"/>
      <c r="NM185" s="26"/>
      <c r="NN185" s="26"/>
      <c r="NO185" s="26"/>
      <c r="NP185" s="26"/>
      <c r="NQ185" s="26"/>
      <c r="NR185" s="26"/>
      <c r="NS185" s="26"/>
      <c r="NT185" s="26"/>
      <c r="NU185" s="26"/>
      <c r="NV185" s="26"/>
      <c r="NW185" s="26"/>
      <c r="NX185" s="26"/>
      <c r="NY185" s="26"/>
      <c r="NZ185" s="26"/>
      <c r="OA185" s="26"/>
      <c r="OB185" s="26"/>
      <c r="OC185" s="26"/>
      <c r="OD185" s="26"/>
      <c r="OE185" s="26"/>
      <c r="OF185" s="26"/>
      <c r="OG185" s="26"/>
      <c r="OH185" s="26"/>
      <c r="OI185" s="26"/>
      <c r="OJ185" s="26"/>
      <c r="OK185" s="26"/>
      <c r="OL185" s="26"/>
      <c r="OM185" s="26"/>
      <c r="ON185" s="26"/>
      <c r="OO185" s="26"/>
      <c r="OP185" s="26"/>
      <c r="OQ185" s="26"/>
      <c r="OR185" s="26"/>
      <c r="OS185" s="26"/>
      <c r="OT185" s="26"/>
      <c r="OU185" s="26"/>
      <c r="OV185" s="26"/>
      <c r="OW185" s="26"/>
      <c r="OX185" s="26"/>
      <c r="OY185" s="26"/>
      <c r="OZ185" s="26"/>
      <c r="PA185" s="26"/>
      <c r="PB185" s="26"/>
      <c r="PC185" s="26"/>
      <c r="PD185" s="26"/>
      <c r="PE185" s="26"/>
      <c r="PF185" s="26"/>
      <c r="PG185" s="26"/>
      <c r="PH185" s="26"/>
      <c r="PI185" s="26"/>
      <c r="PJ185" s="26"/>
      <c r="PK185" s="26"/>
      <c r="PL185" s="26"/>
      <c r="PM185" s="26"/>
      <c r="PN185" s="26"/>
      <c r="PO185" s="26"/>
      <c r="PP185" s="26"/>
      <c r="PQ185" s="26"/>
      <c r="PR185" s="26"/>
      <c r="PS185" s="26"/>
      <c r="PT185" s="26"/>
      <c r="PU185" s="26"/>
      <c r="PV185" s="26"/>
      <c r="PW185" s="26"/>
      <c r="PX185" s="26"/>
      <c r="PY185" s="26"/>
      <c r="PZ185" s="26"/>
      <c r="QA185" s="26"/>
      <c r="QB185" s="26"/>
      <c r="QC185" s="26"/>
      <c r="QD185" s="26"/>
      <c r="QE185" s="26"/>
      <c r="QF185" s="26"/>
      <c r="QG185" s="26"/>
      <c r="QH185" s="26"/>
      <c r="QI185" s="26"/>
      <c r="QJ185" s="26"/>
      <c r="QK185" s="26"/>
      <c r="QL185" s="26"/>
      <c r="QM185" s="26"/>
      <c r="QN185" s="26"/>
      <c r="QO185" s="26"/>
      <c r="QP185" s="26"/>
      <c r="QQ185" s="26"/>
      <c r="QR185" s="26"/>
      <c r="QS185" s="26"/>
      <c r="QT185" s="26"/>
      <c r="QU185" s="26"/>
      <c r="QV185" s="26"/>
      <c r="QW185" s="26"/>
      <c r="QX185" s="26"/>
      <c r="QY185" s="26"/>
      <c r="QZ185" s="26"/>
      <c r="RA185" s="26"/>
      <c r="RB185" s="26"/>
      <c r="RC185" s="26"/>
      <c r="RD185" s="26"/>
      <c r="RE185" s="26"/>
      <c r="RF185" s="26"/>
      <c r="RG185" s="26"/>
      <c r="RH185" s="26"/>
      <c r="RI185" s="26"/>
      <c r="RJ185" s="26"/>
      <c r="RK185" s="26"/>
      <c r="RL185" s="26"/>
      <c r="RM185" s="26"/>
      <c r="RN185" s="26"/>
      <c r="RO185" s="26"/>
      <c r="RP185" s="26"/>
      <c r="RQ185" s="26"/>
      <c r="RR185" s="26"/>
      <c r="RS185" s="26"/>
      <c r="RT185" s="26"/>
      <c r="RU185" s="26"/>
      <c r="RV185" s="26"/>
      <c r="RW185" s="26"/>
      <c r="RX185" s="26"/>
      <c r="RY185" s="26"/>
      <c r="RZ185" s="26"/>
      <c r="SA185" s="26"/>
      <c r="SB185" s="26"/>
      <c r="SC185" s="26"/>
      <c r="SD185" s="26"/>
      <c r="SE185" s="26"/>
      <c r="SF185" s="26"/>
      <c r="SG185" s="26"/>
      <c r="SH185" s="26"/>
      <c r="SI185" s="26"/>
      <c r="SJ185" s="26"/>
      <c r="SK185" s="26"/>
      <c r="SL185" s="26"/>
      <c r="SM185" s="26"/>
      <c r="SN185" s="26"/>
      <c r="SO185" s="26"/>
      <c r="SP185" s="26"/>
      <c r="SQ185" s="26"/>
      <c r="SR185" s="26"/>
      <c r="SS185" s="26"/>
      <c r="ST185" s="26"/>
      <c r="SU185" s="26"/>
      <c r="SV185" s="26"/>
      <c r="SW185" s="26"/>
      <c r="SX185" s="26"/>
      <c r="SY185" s="26"/>
      <c r="SZ185" s="26"/>
      <c r="TA185" s="26"/>
      <c r="TB185" s="26"/>
      <c r="TC185" s="26"/>
      <c r="TD185" s="26"/>
      <c r="TE185" s="26"/>
      <c r="TF185" s="26"/>
      <c r="TG185" s="26"/>
      <c r="TH185" s="26"/>
      <c r="TI185" s="26"/>
      <c r="TJ185" s="26"/>
      <c r="TK185" s="26"/>
      <c r="TL185" s="26"/>
      <c r="TM185" s="26"/>
      <c r="TN185" s="26"/>
      <c r="TO185" s="26"/>
      <c r="TP185" s="26"/>
      <c r="TQ185" s="26"/>
      <c r="TR185" s="26"/>
      <c r="TS185" s="26"/>
      <c r="TT185" s="26"/>
      <c r="TU185" s="26"/>
      <c r="TV185" s="26"/>
      <c r="TW185" s="26"/>
      <c r="TX185" s="26"/>
      <c r="TY185" s="26"/>
      <c r="TZ185" s="26"/>
      <c r="UA185" s="26"/>
      <c r="UB185" s="26"/>
      <c r="UC185" s="26"/>
      <c r="UD185" s="26"/>
      <c r="UE185" s="26"/>
      <c r="UF185" s="26"/>
      <c r="UG185" s="26"/>
      <c r="UH185" s="26"/>
      <c r="UI185" s="26"/>
      <c r="UJ185" s="26"/>
      <c r="UK185" s="26"/>
      <c r="UL185" s="26"/>
      <c r="UM185" s="26"/>
      <c r="UN185" s="26"/>
      <c r="UO185" s="26"/>
      <c r="UP185" s="26"/>
      <c r="UQ185" s="26"/>
      <c r="UR185" s="26"/>
      <c r="US185" s="26"/>
      <c r="UT185" s="26"/>
      <c r="UU185" s="26"/>
      <c r="UV185" s="26"/>
      <c r="UW185" s="26"/>
      <c r="UX185" s="26"/>
      <c r="UY185" s="26"/>
      <c r="UZ185" s="26"/>
      <c r="VA185" s="26"/>
      <c r="VB185" s="26"/>
      <c r="VC185" s="26"/>
      <c r="VD185" s="26"/>
      <c r="VE185" s="26"/>
      <c r="VF185" s="26"/>
      <c r="VG185" s="26"/>
      <c r="VH185" s="26"/>
      <c r="VI185" s="26"/>
      <c r="VJ185" s="26"/>
      <c r="VK185" s="26"/>
      <c r="VL185" s="26"/>
      <c r="VM185" s="26"/>
      <c r="VN185" s="26"/>
      <c r="VO185" s="26"/>
      <c r="VP185" s="26"/>
      <c r="VQ185" s="26"/>
      <c r="VR185" s="26"/>
      <c r="VS185" s="26"/>
      <c r="VT185" s="26"/>
      <c r="VU185" s="26"/>
      <c r="VV185" s="26"/>
      <c r="VW185" s="26"/>
      <c r="VX185" s="26"/>
      <c r="VY185" s="26"/>
      <c r="VZ185" s="26"/>
      <c r="WA185" s="26"/>
      <c r="WB185" s="26"/>
      <c r="WC185" s="26"/>
      <c r="WD185" s="26"/>
      <c r="WE185" s="26"/>
      <c r="WF185" s="26"/>
      <c r="WG185" s="26"/>
      <c r="WH185" s="26"/>
      <c r="WI185" s="26"/>
      <c r="WJ185" s="26"/>
      <c r="WK185" s="26"/>
      <c r="WL185" s="26"/>
      <c r="WM185" s="26"/>
      <c r="WN185" s="26"/>
      <c r="WO185" s="26"/>
      <c r="WP185" s="26"/>
      <c r="WQ185" s="26"/>
      <c r="WR185" s="26"/>
      <c r="WS185" s="26"/>
      <c r="WT185" s="26"/>
      <c r="WU185" s="26"/>
      <c r="WV185" s="26"/>
      <c r="WW185" s="26"/>
      <c r="WX185" s="26"/>
      <c r="WY185" s="26"/>
      <c r="WZ185" s="26"/>
      <c r="XA185" s="26"/>
      <c r="XB185" s="26"/>
      <c r="XC185" s="26"/>
      <c r="XD185" s="26"/>
      <c r="XE185" s="26"/>
      <c r="XF185" s="26"/>
      <c r="XG185" s="26"/>
      <c r="XH185" s="26"/>
      <c r="XI185" s="26"/>
      <c r="XJ185" s="26"/>
      <c r="XK185" s="26"/>
      <c r="XL185" s="26"/>
      <c r="XM185" s="26"/>
      <c r="XN185" s="26"/>
      <c r="XO185" s="26"/>
      <c r="XP185" s="26"/>
      <c r="XQ185" s="26"/>
      <c r="XR185" s="26"/>
      <c r="XS185" s="26"/>
      <c r="XT185" s="26"/>
      <c r="XU185" s="26"/>
      <c r="XV185" s="26"/>
      <c r="XW185" s="26"/>
      <c r="XX185" s="26"/>
      <c r="XY185" s="26"/>
      <c r="XZ185" s="26"/>
      <c r="YA185" s="26"/>
      <c r="YB185" s="26"/>
      <c r="YC185" s="26"/>
      <c r="YD185" s="26"/>
      <c r="YE185" s="26"/>
      <c r="YF185" s="26"/>
      <c r="YG185" s="26"/>
      <c r="YH185" s="26"/>
      <c r="YI185" s="26"/>
      <c r="YJ185" s="26"/>
      <c r="YK185" s="26"/>
      <c r="YL185" s="26"/>
      <c r="YM185" s="26"/>
      <c r="YN185" s="26"/>
      <c r="YO185" s="26"/>
      <c r="YP185" s="26"/>
      <c r="YQ185" s="26"/>
      <c r="YR185" s="26"/>
      <c r="YS185" s="26"/>
      <c r="YT185" s="26"/>
      <c r="YU185" s="26"/>
      <c r="YV185" s="26"/>
      <c r="YW185" s="26"/>
      <c r="YX185" s="26"/>
      <c r="YY185" s="26"/>
      <c r="YZ185" s="26"/>
      <c r="ZA185" s="26"/>
      <c r="ZB185" s="26"/>
      <c r="ZC185" s="26"/>
      <c r="ZD185" s="26"/>
      <c r="ZE185" s="26"/>
      <c r="ZF185" s="26"/>
      <c r="ZG185" s="26"/>
      <c r="ZH185" s="26"/>
      <c r="ZI185" s="26"/>
      <c r="ZJ185" s="26"/>
      <c r="ZK185" s="26"/>
      <c r="ZL185" s="26"/>
      <c r="ZM185" s="26"/>
      <c r="ZN185" s="26"/>
      <c r="ZO185" s="26"/>
      <c r="ZP185" s="26"/>
      <c r="ZQ185" s="26"/>
      <c r="ZR185" s="26"/>
      <c r="ZS185" s="26"/>
      <c r="ZT185" s="26"/>
      <c r="ZU185" s="26"/>
      <c r="ZV185" s="26"/>
      <c r="ZW185" s="26"/>
      <c r="ZX185" s="26"/>
      <c r="ZY185" s="26"/>
      <c r="ZZ185" s="26"/>
      <c r="AAA185" s="26"/>
      <c r="AAB185" s="26"/>
      <c r="AAC185" s="26"/>
      <c r="AAD185" s="26"/>
      <c r="AAE185" s="26"/>
      <c r="AAF185" s="26"/>
      <c r="AAG185" s="26"/>
      <c r="AAH185" s="26"/>
      <c r="AAI185" s="26"/>
      <c r="AAJ185" s="26"/>
      <c r="AAK185" s="26"/>
      <c r="AAL185" s="26"/>
      <c r="AAM185" s="26"/>
      <c r="AAN185" s="26"/>
      <c r="AAO185" s="26"/>
      <c r="AAP185" s="26"/>
      <c r="AAQ185" s="26"/>
      <c r="AAR185" s="26"/>
      <c r="AAS185" s="26"/>
      <c r="AAT185" s="26"/>
      <c r="AAU185" s="26"/>
      <c r="AAV185" s="26"/>
      <c r="AAW185" s="26"/>
      <c r="AAX185" s="26"/>
      <c r="AAY185" s="26"/>
      <c r="AAZ185" s="26"/>
      <c r="ABA185" s="26"/>
      <c r="ABB185" s="26"/>
      <c r="ABC185" s="26"/>
      <c r="ABD185" s="26"/>
      <c r="ABE185" s="26"/>
      <c r="ABF185" s="26"/>
      <c r="ABG185" s="26"/>
      <c r="ABH185" s="26"/>
      <c r="ABI185" s="26"/>
      <c r="ABJ185" s="26"/>
      <c r="ABK185" s="26"/>
      <c r="ABL185" s="26"/>
      <c r="ABM185" s="26"/>
      <c r="ABN185" s="26"/>
      <c r="ABO185" s="26"/>
      <c r="ABP185" s="26"/>
      <c r="ABQ185" s="26"/>
      <c r="ABR185" s="26"/>
      <c r="ABS185" s="26"/>
      <c r="ABT185" s="26"/>
      <c r="ABU185" s="26"/>
      <c r="ABV185" s="26"/>
      <c r="ABW185" s="26"/>
      <c r="ABX185" s="26"/>
      <c r="ABY185" s="26"/>
      <c r="ABZ185" s="26"/>
      <c r="ACA185" s="26"/>
      <c r="ACB185" s="26"/>
      <c r="ACC185" s="26"/>
      <c r="ACD185" s="26"/>
      <c r="ACE185" s="26"/>
      <c r="ACF185" s="26"/>
      <c r="ACG185" s="26"/>
      <c r="ACH185" s="26"/>
      <c r="ACI185" s="26"/>
      <c r="ACJ185" s="26"/>
      <c r="ACK185" s="26"/>
      <c r="ACL185" s="26"/>
      <c r="ACM185" s="26"/>
      <c r="ACN185" s="26"/>
      <c r="ACO185" s="26"/>
      <c r="ACP185" s="26"/>
      <c r="ACQ185" s="26"/>
      <c r="ACR185" s="26"/>
      <c r="ACS185" s="26"/>
      <c r="ACT185" s="26"/>
      <c r="ACU185" s="26"/>
      <c r="ACV185" s="26"/>
      <c r="ACW185" s="26"/>
      <c r="ACX185" s="26"/>
      <c r="ACY185" s="26"/>
      <c r="ACZ185" s="26"/>
      <c r="ADA185" s="26"/>
      <c r="ADB185" s="26"/>
      <c r="ADC185" s="26"/>
      <c r="ADD185" s="26"/>
      <c r="ADE185" s="26"/>
      <c r="ADF185" s="26"/>
      <c r="ADG185" s="26"/>
      <c r="ADH185" s="26"/>
      <c r="ADI185" s="26"/>
      <c r="ADJ185" s="26"/>
      <c r="ADK185" s="26"/>
      <c r="ADL185" s="26"/>
      <c r="ADM185" s="26"/>
      <c r="ADN185" s="26"/>
      <c r="ADO185" s="26"/>
      <c r="ADP185" s="26"/>
      <c r="ADQ185" s="26"/>
      <c r="ADR185" s="26"/>
      <c r="ADS185" s="26"/>
      <c r="ADT185" s="26"/>
      <c r="ADU185" s="26"/>
      <c r="ADV185" s="26"/>
      <c r="ADW185" s="26"/>
      <c r="ADX185" s="26"/>
      <c r="ADY185" s="26"/>
      <c r="ADZ185" s="26"/>
      <c r="AEA185" s="26"/>
      <c r="AEB185" s="26"/>
      <c r="AEC185" s="26"/>
      <c r="AED185" s="26"/>
      <c r="AEE185" s="26"/>
      <c r="AEF185" s="26"/>
      <c r="AEG185" s="26"/>
      <c r="AEH185" s="26"/>
      <c r="AEI185" s="26"/>
      <c r="AEJ185" s="26"/>
      <c r="AEK185" s="26"/>
      <c r="AEL185" s="26"/>
      <c r="AEM185" s="26"/>
      <c r="AEN185" s="26"/>
      <c r="AEO185" s="26"/>
      <c r="AEP185" s="26"/>
      <c r="AEQ185" s="26"/>
      <c r="AER185" s="26"/>
      <c r="AES185" s="26"/>
      <c r="AET185" s="26"/>
      <c r="AEU185" s="26"/>
      <c r="AEV185" s="26"/>
      <c r="AEW185" s="26"/>
      <c r="AEX185" s="26"/>
      <c r="AEY185" s="26"/>
      <c r="AEZ185" s="26"/>
      <c r="AFA185" s="26"/>
      <c r="AFB185" s="26"/>
      <c r="AFC185" s="26"/>
      <c r="AFD185" s="26"/>
      <c r="AFE185" s="26"/>
      <c r="AFF185" s="26"/>
      <c r="AFG185" s="26"/>
      <c r="AFH185" s="26"/>
      <c r="AFI185" s="26"/>
      <c r="AFJ185" s="26"/>
      <c r="AFK185" s="26"/>
      <c r="AFL185" s="26"/>
      <c r="AFM185" s="26"/>
      <c r="AFN185" s="26"/>
      <c r="AFO185" s="26"/>
      <c r="AFP185" s="26"/>
      <c r="AFQ185" s="26"/>
      <c r="AFR185" s="26"/>
      <c r="AFS185" s="26"/>
      <c r="AFT185" s="26"/>
      <c r="AFU185" s="26"/>
      <c r="AFV185" s="26"/>
      <c r="AFW185" s="26"/>
      <c r="AFX185" s="26"/>
      <c r="AFY185" s="26"/>
      <c r="AFZ185" s="26"/>
      <c r="AGA185" s="26"/>
      <c r="AGB185" s="26"/>
      <c r="AGC185" s="26"/>
      <c r="AGD185" s="26"/>
      <c r="AGE185" s="26"/>
      <c r="AGF185" s="26"/>
      <c r="AGG185" s="26"/>
      <c r="AGH185" s="26"/>
      <c r="AGI185" s="26"/>
      <c r="AGJ185" s="26"/>
      <c r="AGK185" s="26"/>
      <c r="AGL185" s="26"/>
      <c r="AGM185" s="26"/>
      <c r="AGN185" s="26"/>
      <c r="AGO185" s="26"/>
      <c r="AGP185" s="26"/>
      <c r="AGQ185" s="26"/>
      <c r="AGR185" s="26"/>
      <c r="AGS185" s="26"/>
      <c r="AGT185" s="26"/>
      <c r="AGU185" s="26"/>
      <c r="AGV185" s="26"/>
      <c r="AGW185" s="26"/>
      <c r="AGX185" s="26"/>
      <c r="AGY185" s="26"/>
      <c r="AGZ185" s="26"/>
      <c r="AHA185" s="26"/>
      <c r="AHB185" s="26"/>
      <c r="AHC185" s="26"/>
      <c r="AHD185" s="26"/>
      <c r="AHE185" s="26"/>
      <c r="AHF185" s="26"/>
      <c r="AHG185" s="26"/>
      <c r="AHH185" s="26"/>
      <c r="AHI185" s="26"/>
      <c r="AHJ185" s="26"/>
      <c r="AHK185" s="26"/>
      <c r="AHL185" s="26"/>
      <c r="AHM185" s="26"/>
      <c r="AHN185" s="26"/>
      <c r="AHO185" s="26"/>
      <c r="AHP185" s="26"/>
      <c r="AHQ185" s="26"/>
      <c r="AHR185" s="26"/>
      <c r="AHS185" s="26"/>
      <c r="AHT185" s="26"/>
      <c r="AHU185" s="26"/>
      <c r="AHV185" s="26"/>
      <c r="AHW185" s="26"/>
      <c r="AHX185" s="26"/>
      <c r="AHY185" s="26"/>
      <c r="AHZ185" s="26"/>
      <c r="AIA185" s="26"/>
      <c r="AIB185" s="26"/>
      <c r="AIC185" s="26"/>
      <c r="AID185" s="26"/>
      <c r="AIE185" s="26"/>
      <c r="AIF185" s="26"/>
      <c r="AIG185" s="26"/>
      <c r="AIH185" s="26"/>
      <c r="AII185" s="26"/>
      <c r="AIJ185" s="26"/>
      <c r="AIK185" s="26"/>
      <c r="AIL185" s="26"/>
      <c r="AIM185" s="26"/>
      <c r="AIN185" s="26"/>
      <c r="AIO185" s="26"/>
      <c r="AIP185" s="26"/>
      <c r="AIQ185" s="26"/>
      <c r="AIR185" s="26"/>
      <c r="AIS185" s="26"/>
      <c r="AIT185" s="26"/>
      <c r="AIU185" s="26"/>
      <c r="AIV185" s="26"/>
      <c r="AIW185" s="26"/>
      <c r="AIX185" s="26"/>
      <c r="AIY185" s="26"/>
      <c r="AIZ185" s="26"/>
      <c r="AJA185" s="26"/>
      <c r="AJB185" s="26"/>
      <c r="AJC185" s="26"/>
      <c r="AJD185" s="26"/>
      <c r="AJE185" s="26"/>
      <c r="AJF185" s="26"/>
      <c r="AJG185" s="26"/>
      <c r="AJH185" s="26"/>
      <c r="AJI185" s="26"/>
      <c r="AJJ185" s="26"/>
      <c r="AJK185" s="26"/>
      <c r="AJL185" s="26"/>
      <c r="AJM185" s="26"/>
      <c r="AJN185" s="26"/>
      <c r="AJO185" s="26"/>
      <c r="AJP185" s="26"/>
      <c r="AJQ185" s="26"/>
      <c r="AJR185" s="26"/>
      <c r="AJS185" s="26"/>
      <c r="AJT185" s="26"/>
      <c r="AJU185" s="26"/>
      <c r="AJV185" s="26"/>
      <c r="AJW185" s="26"/>
      <c r="AJX185" s="26"/>
      <c r="AJY185" s="26"/>
      <c r="AJZ185" s="26"/>
      <c r="AKA185" s="26"/>
      <c r="AKB185" s="26"/>
      <c r="AKC185" s="26"/>
      <c r="AKD185" s="26"/>
      <c r="AKE185" s="26"/>
      <c r="AKF185" s="26"/>
      <c r="AKG185" s="26"/>
      <c r="AKH185" s="26"/>
      <c r="AKI185" s="26"/>
      <c r="AKJ185" s="26"/>
      <c r="AKK185" s="26"/>
      <c r="AKL185" s="26"/>
      <c r="AKM185" s="26"/>
      <c r="AKN185" s="26"/>
      <c r="AKO185" s="26"/>
      <c r="AKP185" s="26"/>
      <c r="AKQ185" s="26"/>
      <c r="AKR185" s="26"/>
      <c r="AKS185" s="26"/>
      <c r="AKT185" s="26"/>
      <c r="AKU185" s="26"/>
      <c r="AKV185" s="26"/>
      <c r="AKW185" s="26"/>
      <c r="AKX185" s="26"/>
      <c r="AKY185" s="26"/>
      <c r="AKZ185" s="26"/>
      <c r="ALA185" s="26"/>
      <c r="ALB185" s="26"/>
      <c r="ALC185" s="26"/>
      <c r="ALD185" s="26"/>
      <c r="ALE185" s="26"/>
      <c r="ALF185" s="26"/>
      <c r="ALG185" s="26"/>
      <c r="ALH185" s="26"/>
      <c r="ALI185" s="26"/>
      <c r="ALJ185" s="26"/>
      <c r="ALK185" s="26"/>
      <c r="ALL185" s="26"/>
      <c r="ALM185" s="26"/>
      <c r="ALN185" s="26"/>
      <c r="ALO185" s="26"/>
      <c r="ALP185" s="26"/>
      <c r="ALQ185" s="26"/>
      <c r="ALR185" s="26"/>
      <c r="ALS185" s="26"/>
      <c r="ALT185" s="26"/>
      <c r="ALU185" s="26"/>
      <c r="ALV185" s="26"/>
      <c r="ALW185" s="26"/>
      <c r="ALX185" s="26"/>
      <c r="ALY185" s="26"/>
      <c r="ALZ185" s="26"/>
      <c r="AMA185" s="26"/>
      <c r="AMB185" s="26"/>
      <c r="AMC185" s="26"/>
      <c r="AMD185" s="26"/>
      <c r="AME185" s="26"/>
      <c r="AMF185" s="26"/>
      <c r="AMG185" s="26"/>
      <c r="AMH185" s="26"/>
      <c r="AMI185" s="26"/>
      <c r="AMJ185" s="26"/>
    </row>
    <row r="186" spans="1:1024" s="28" customFormat="1">
      <c r="A186" s="2"/>
      <c r="B186" s="2"/>
      <c r="C186" s="2"/>
      <c r="D186" s="67"/>
      <c r="E186" s="1"/>
      <c r="F186" s="4"/>
      <c r="G186" s="57"/>
      <c r="H186" s="3"/>
      <c r="I186" s="3"/>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c r="IU186" s="26"/>
      <c r="IV186" s="26"/>
      <c r="IW186" s="26"/>
      <c r="IX186" s="26"/>
      <c r="IY186" s="26"/>
      <c r="IZ186" s="26"/>
      <c r="JA186" s="26"/>
      <c r="JB186" s="26"/>
      <c r="JC186" s="26"/>
      <c r="JD186" s="26"/>
      <c r="JE186" s="26"/>
      <c r="JF186" s="26"/>
      <c r="JG186" s="26"/>
      <c r="JH186" s="26"/>
      <c r="JI186" s="26"/>
      <c r="JJ186" s="26"/>
      <c r="JK186" s="26"/>
      <c r="JL186" s="26"/>
      <c r="JM186" s="26"/>
      <c r="JN186" s="26"/>
      <c r="JO186" s="26"/>
      <c r="JP186" s="26"/>
      <c r="JQ186" s="26"/>
      <c r="JR186" s="26"/>
      <c r="JS186" s="26"/>
      <c r="JT186" s="26"/>
      <c r="JU186" s="26"/>
      <c r="JV186" s="26"/>
      <c r="JW186" s="26"/>
      <c r="JX186" s="26"/>
      <c r="JY186" s="26"/>
      <c r="JZ186" s="26"/>
      <c r="KA186" s="26"/>
      <c r="KB186" s="26"/>
      <c r="KC186" s="26"/>
      <c r="KD186" s="26"/>
      <c r="KE186" s="26"/>
      <c r="KF186" s="26"/>
      <c r="KG186" s="26"/>
      <c r="KH186" s="26"/>
      <c r="KI186" s="26"/>
      <c r="KJ186" s="26"/>
      <c r="KK186" s="26"/>
      <c r="KL186" s="26"/>
      <c r="KM186" s="26"/>
      <c r="KN186" s="26"/>
      <c r="KO186" s="26"/>
      <c r="KP186" s="26"/>
      <c r="KQ186" s="26"/>
      <c r="KR186" s="26"/>
      <c r="KS186" s="26"/>
      <c r="KT186" s="26"/>
      <c r="KU186" s="26"/>
      <c r="KV186" s="26"/>
      <c r="KW186" s="26"/>
      <c r="KX186" s="26"/>
      <c r="KY186" s="26"/>
      <c r="KZ186" s="26"/>
      <c r="LA186" s="26"/>
      <c r="LB186" s="26"/>
      <c r="LC186" s="26"/>
      <c r="LD186" s="26"/>
      <c r="LE186" s="26"/>
      <c r="LF186" s="26"/>
      <c r="LG186" s="26"/>
      <c r="LH186" s="26"/>
      <c r="LI186" s="26"/>
      <c r="LJ186" s="26"/>
      <c r="LK186" s="26"/>
      <c r="LL186" s="26"/>
      <c r="LM186" s="26"/>
      <c r="LN186" s="26"/>
      <c r="LO186" s="26"/>
      <c r="LP186" s="26"/>
      <c r="LQ186" s="26"/>
      <c r="LR186" s="26"/>
      <c r="LS186" s="26"/>
      <c r="LT186" s="26"/>
      <c r="LU186" s="26"/>
      <c r="LV186" s="26"/>
      <c r="LW186" s="26"/>
      <c r="LX186" s="26"/>
      <c r="LY186" s="26"/>
      <c r="LZ186" s="26"/>
      <c r="MA186" s="26"/>
      <c r="MB186" s="26"/>
      <c r="MC186" s="26"/>
      <c r="MD186" s="26"/>
      <c r="ME186" s="26"/>
      <c r="MF186" s="26"/>
      <c r="MG186" s="26"/>
      <c r="MH186" s="26"/>
      <c r="MI186" s="26"/>
      <c r="MJ186" s="26"/>
      <c r="MK186" s="26"/>
      <c r="ML186" s="26"/>
      <c r="MM186" s="26"/>
      <c r="MN186" s="26"/>
      <c r="MO186" s="26"/>
      <c r="MP186" s="26"/>
      <c r="MQ186" s="26"/>
      <c r="MR186" s="26"/>
      <c r="MS186" s="26"/>
      <c r="MT186" s="26"/>
      <c r="MU186" s="26"/>
      <c r="MV186" s="26"/>
      <c r="MW186" s="26"/>
      <c r="MX186" s="26"/>
      <c r="MY186" s="26"/>
      <c r="MZ186" s="26"/>
      <c r="NA186" s="26"/>
      <c r="NB186" s="26"/>
      <c r="NC186" s="26"/>
      <c r="ND186" s="26"/>
      <c r="NE186" s="26"/>
      <c r="NF186" s="26"/>
      <c r="NG186" s="26"/>
      <c r="NH186" s="26"/>
      <c r="NI186" s="26"/>
      <c r="NJ186" s="26"/>
      <c r="NK186" s="26"/>
      <c r="NL186" s="26"/>
      <c r="NM186" s="26"/>
      <c r="NN186" s="26"/>
      <c r="NO186" s="26"/>
      <c r="NP186" s="26"/>
      <c r="NQ186" s="26"/>
      <c r="NR186" s="26"/>
      <c r="NS186" s="26"/>
      <c r="NT186" s="26"/>
      <c r="NU186" s="26"/>
      <c r="NV186" s="26"/>
      <c r="NW186" s="26"/>
      <c r="NX186" s="26"/>
      <c r="NY186" s="26"/>
      <c r="NZ186" s="26"/>
      <c r="OA186" s="26"/>
      <c r="OB186" s="26"/>
      <c r="OC186" s="26"/>
      <c r="OD186" s="26"/>
      <c r="OE186" s="26"/>
      <c r="OF186" s="26"/>
      <c r="OG186" s="26"/>
      <c r="OH186" s="26"/>
      <c r="OI186" s="26"/>
      <c r="OJ186" s="26"/>
      <c r="OK186" s="26"/>
      <c r="OL186" s="26"/>
      <c r="OM186" s="26"/>
      <c r="ON186" s="26"/>
      <c r="OO186" s="26"/>
      <c r="OP186" s="26"/>
      <c r="OQ186" s="26"/>
      <c r="OR186" s="26"/>
      <c r="OS186" s="26"/>
      <c r="OT186" s="26"/>
      <c r="OU186" s="26"/>
      <c r="OV186" s="26"/>
      <c r="OW186" s="26"/>
      <c r="OX186" s="26"/>
      <c r="OY186" s="26"/>
      <c r="OZ186" s="26"/>
      <c r="PA186" s="26"/>
      <c r="PB186" s="26"/>
      <c r="PC186" s="26"/>
      <c r="PD186" s="26"/>
      <c r="PE186" s="26"/>
      <c r="PF186" s="26"/>
      <c r="PG186" s="26"/>
      <c r="PH186" s="26"/>
      <c r="PI186" s="26"/>
      <c r="PJ186" s="26"/>
      <c r="PK186" s="26"/>
      <c r="PL186" s="26"/>
      <c r="PM186" s="26"/>
      <c r="PN186" s="26"/>
      <c r="PO186" s="26"/>
      <c r="PP186" s="26"/>
      <c r="PQ186" s="26"/>
      <c r="PR186" s="26"/>
      <c r="PS186" s="26"/>
      <c r="PT186" s="26"/>
      <c r="PU186" s="26"/>
      <c r="PV186" s="26"/>
      <c r="PW186" s="26"/>
      <c r="PX186" s="26"/>
      <c r="PY186" s="26"/>
      <c r="PZ186" s="26"/>
      <c r="QA186" s="26"/>
      <c r="QB186" s="26"/>
      <c r="QC186" s="26"/>
      <c r="QD186" s="26"/>
      <c r="QE186" s="26"/>
      <c r="QF186" s="26"/>
      <c r="QG186" s="26"/>
      <c r="QH186" s="26"/>
      <c r="QI186" s="26"/>
      <c r="QJ186" s="26"/>
      <c r="QK186" s="26"/>
      <c r="QL186" s="26"/>
      <c r="QM186" s="26"/>
      <c r="QN186" s="26"/>
      <c r="QO186" s="26"/>
      <c r="QP186" s="26"/>
      <c r="QQ186" s="26"/>
      <c r="QR186" s="26"/>
      <c r="QS186" s="26"/>
      <c r="QT186" s="26"/>
      <c r="QU186" s="26"/>
      <c r="QV186" s="26"/>
      <c r="QW186" s="26"/>
      <c r="QX186" s="26"/>
      <c r="QY186" s="26"/>
      <c r="QZ186" s="26"/>
      <c r="RA186" s="26"/>
      <c r="RB186" s="26"/>
      <c r="RC186" s="26"/>
      <c r="RD186" s="26"/>
      <c r="RE186" s="26"/>
      <c r="RF186" s="26"/>
      <c r="RG186" s="26"/>
      <c r="RH186" s="26"/>
      <c r="RI186" s="26"/>
      <c r="RJ186" s="26"/>
      <c r="RK186" s="26"/>
      <c r="RL186" s="26"/>
      <c r="RM186" s="26"/>
      <c r="RN186" s="26"/>
      <c r="RO186" s="26"/>
      <c r="RP186" s="26"/>
      <c r="RQ186" s="26"/>
      <c r="RR186" s="26"/>
      <c r="RS186" s="26"/>
      <c r="RT186" s="26"/>
      <c r="RU186" s="26"/>
      <c r="RV186" s="26"/>
      <c r="RW186" s="26"/>
      <c r="RX186" s="26"/>
      <c r="RY186" s="26"/>
      <c r="RZ186" s="26"/>
      <c r="SA186" s="26"/>
      <c r="SB186" s="26"/>
      <c r="SC186" s="26"/>
      <c r="SD186" s="26"/>
      <c r="SE186" s="26"/>
      <c r="SF186" s="26"/>
      <c r="SG186" s="26"/>
      <c r="SH186" s="26"/>
      <c r="SI186" s="26"/>
      <c r="SJ186" s="26"/>
      <c r="SK186" s="26"/>
      <c r="SL186" s="26"/>
      <c r="SM186" s="26"/>
      <c r="SN186" s="26"/>
      <c r="SO186" s="26"/>
      <c r="SP186" s="26"/>
      <c r="SQ186" s="26"/>
      <c r="SR186" s="26"/>
      <c r="SS186" s="26"/>
      <c r="ST186" s="26"/>
      <c r="SU186" s="26"/>
      <c r="SV186" s="26"/>
      <c r="SW186" s="26"/>
      <c r="SX186" s="26"/>
      <c r="SY186" s="26"/>
      <c r="SZ186" s="26"/>
      <c r="TA186" s="26"/>
      <c r="TB186" s="26"/>
      <c r="TC186" s="26"/>
      <c r="TD186" s="26"/>
      <c r="TE186" s="26"/>
      <c r="TF186" s="26"/>
      <c r="TG186" s="26"/>
      <c r="TH186" s="26"/>
      <c r="TI186" s="26"/>
      <c r="TJ186" s="26"/>
      <c r="TK186" s="26"/>
      <c r="TL186" s="26"/>
      <c r="TM186" s="26"/>
      <c r="TN186" s="26"/>
      <c r="TO186" s="26"/>
      <c r="TP186" s="26"/>
      <c r="TQ186" s="26"/>
      <c r="TR186" s="26"/>
      <c r="TS186" s="26"/>
      <c r="TT186" s="26"/>
      <c r="TU186" s="26"/>
      <c r="TV186" s="26"/>
      <c r="TW186" s="26"/>
      <c r="TX186" s="26"/>
      <c r="TY186" s="26"/>
      <c r="TZ186" s="26"/>
      <c r="UA186" s="26"/>
      <c r="UB186" s="26"/>
      <c r="UC186" s="26"/>
      <c r="UD186" s="26"/>
      <c r="UE186" s="26"/>
      <c r="UF186" s="26"/>
      <c r="UG186" s="26"/>
      <c r="UH186" s="26"/>
      <c r="UI186" s="26"/>
      <c r="UJ186" s="26"/>
      <c r="UK186" s="26"/>
      <c r="UL186" s="26"/>
      <c r="UM186" s="26"/>
      <c r="UN186" s="26"/>
      <c r="UO186" s="26"/>
      <c r="UP186" s="26"/>
      <c r="UQ186" s="26"/>
      <c r="UR186" s="26"/>
      <c r="US186" s="26"/>
      <c r="UT186" s="26"/>
      <c r="UU186" s="26"/>
      <c r="UV186" s="26"/>
      <c r="UW186" s="26"/>
      <c r="UX186" s="26"/>
      <c r="UY186" s="26"/>
      <c r="UZ186" s="26"/>
      <c r="VA186" s="26"/>
      <c r="VB186" s="26"/>
      <c r="VC186" s="26"/>
      <c r="VD186" s="26"/>
      <c r="VE186" s="26"/>
      <c r="VF186" s="26"/>
      <c r="VG186" s="26"/>
      <c r="VH186" s="26"/>
      <c r="VI186" s="26"/>
      <c r="VJ186" s="26"/>
      <c r="VK186" s="26"/>
      <c r="VL186" s="26"/>
      <c r="VM186" s="26"/>
      <c r="VN186" s="26"/>
      <c r="VO186" s="26"/>
      <c r="VP186" s="26"/>
      <c r="VQ186" s="26"/>
      <c r="VR186" s="26"/>
      <c r="VS186" s="26"/>
      <c r="VT186" s="26"/>
      <c r="VU186" s="26"/>
      <c r="VV186" s="26"/>
      <c r="VW186" s="26"/>
      <c r="VX186" s="26"/>
      <c r="VY186" s="26"/>
      <c r="VZ186" s="26"/>
      <c r="WA186" s="26"/>
      <c r="WB186" s="26"/>
      <c r="WC186" s="26"/>
      <c r="WD186" s="26"/>
      <c r="WE186" s="26"/>
      <c r="WF186" s="26"/>
      <c r="WG186" s="26"/>
      <c r="WH186" s="26"/>
      <c r="WI186" s="26"/>
      <c r="WJ186" s="26"/>
      <c r="WK186" s="26"/>
      <c r="WL186" s="26"/>
      <c r="WM186" s="26"/>
      <c r="WN186" s="26"/>
      <c r="WO186" s="26"/>
      <c r="WP186" s="26"/>
      <c r="WQ186" s="26"/>
      <c r="WR186" s="26"/>
      <c r="WS186" s="26"/>
      <c r="WT186" s="26"/>
      <c r="WU186" s="26"/>
      <c r="WV186" s="26"/>
      <c r="WW186" s="26"/>
      <c r="WX186" s="26"/>
      <c r="WY186" s="26"/>
      <c r="WZ186" s="26"/>
      <c r="XA186" s="26"/>
      <c r="XB186" s="26"/>
      <c r="XC186" s="26"/>
      <c r="XD186" s="26"/>
      <c r="XE186" s="26"/>
      <c r="XF186" s="26"/>
      <c r="XG186" s="26"/>
      <c r="XH186" s="26"/>
      <c r="XI186" s="26"/>
      <c r="XJ186" s="26"/>
      <c r="XK186" s="26"/>
      <c r="XL186" s="26"/>
      <c r="XM186" s="26"/>
      <c r="XN186" s="26"/>
      <c r="XO186" s="26"/>
      <c r="XP186" s="26"/>
      <c r="XQ186" s="26"/>
      <c r="XR186" s="26"/>
      <c r="XS186" s="26"/>
      <c r="XT186" s="26"/>
      <c r="XU186" s="26"/>
      <c r="XV186" s="26"/>
      <c r="XW186" s="26"/>
      <c r="XX186" s="26"/>
      <c r="XY186" s="26"/>
      <c r="XZ186" s="26"/>
      <c r="YA186" s="26"/>
      <c r="YB186" s="26"/>
      <c r="YC186" s="26"/>
      <c r="YD186" s="26"/>
      <c r="YE186" s="26"/>
      <c r="YF186" s="26"/>
      <c r="YG186" s="26"/>
      <c r="YH186" s="26"/>
      <c r="YI186" s="26"/>
      <c r="YJ186" s="26"/>
      <c r="YK186" s="26"/>
      <c r="YL186" s="26"/>
      <c r="YM186" s="26"/>
      <c r="YN186" s="26"/>
      <c r="YO186" s="26"/>
      <c r="YP186" s="26"/>
      <c r="YQ186" s="26"/>
      <c r="YR186" s="26"/>
      <c r="YS186" s="26"/>
      <c r="YT186" s="26"/>
      <c r="YU186" s="26"/>
      <c r="YV186" s="26"/>
      <c r="YW186" s="26"/>
      <c r="YX186" s="26"/>
      <c r="YY186" s="26"/>
      <c r="YZ186" s="26"/>
      <c r="ZA186" s="26"/>
      <c r="ZB186" s="26"/>
      <c r="ZC186" s="26"/>
      <c r="ZD186" s="26"/>
      <c r="ZE186" s="26"/>
      <c r="ZF186" s="26"/>
      <c r="ZG186" s="26"/>
      <c r="ZH186" s="26"/>
      <c r="ZI186" s="26"/>
      <c r="ZJ186" s="26"/>
      <c r="ZK186" s="26"/>
      <c r="ZL186" s="26"/>
      <c r="ZM186" s="26"/>
      <c r="ZN186" s="26"/>
      <c r="ZO186" s="26"/>
      <c r="ZP186" s="26"/>
      <c r="ZQ186" s="26"/>
      <c r="ZR186" s="26"/>
      <c r="ZS186" s="26"/>
      <c r="ZT186" s="26"/>
      <c r="ZU186" s="26"/>
      <c r="ZV186" s="26"/>
      <c r="ZW186" s="26"/>
      <c r="ZX186" s="26"/>
      <c r="ZY186" s="26"/>
      <c r="ZZ186" s="26"/>
      <c r="AAA186" s="26"/>
      <c r="AAB186" s="26"/>
      <c r="AAC186" s="26"/>
      <c r="AAD186" s="26"/>
      <c r="AAE186" s="26"/>
      <c r="AAF186" s="26"/>
      <c r="AAG186" s="26"/>
      <c r="AAH186" s="26"/>
      <c r="AAI186" s="26"/>
      <c r="AAJ186" s="26"/>
      <c r="AAK186" s="26"/>
      <c r="AAL186" s="26"/>
      <c r="AAM186" s="26"/>
      <c r="AAN186" s="26"/>
      <c r="AAO186" s="26"/>
      <c r="AAP186" s="26"/>
      <c r="AAQ186" s="26"/>
      <c r="AAR186" s="26"/>
      <c r="AAS186" s="26"/>
      <c r="AAT186" s="26"/>
      <c r="AAU186" s="26"/>
      <c r="AAV186" s="26"/>
      <c r="AAW186" s="26"/>
      <c r="AAX186" s="26"/>
      <c r="AAY186" s="26"/>
      <c r="AAZ186" s="26"/>
      <c r="ABA186" s="26"/>
      <c r="ABB186" s="26"/>
      <c r="ABC186" s="26"/>
      <c r="ABD186" s="26"/>
      <c r="ABE186" s="26"/>
      <c r="ABF186" s="26"/>
      <c r="ABG186" s="26"/>
      <c r="ABH186" s="26"/>
      <c r="ABI186" s="26"/>
      <c r="ABJ186" s="26"/>
      <c r="ABK186" s="26"/>
      <c r="ABL186" s="26"/>
      <c r="ABM186" s="26"/>
      <c r="ABN186" s="26"/>
      <c r="ABO186" s="26"/>
      <c r="ABP186" s="26"/>
      <c r="ABQ186" s="26"/>
      <c r="ABR186" s="26"/>
      <c r="ABS186" s="26"/>
      <c r="ABT186" s="26"/>
      <c r="ABU186" s="26"/>
      <c r="ABV186" s="26"/>
      <c r="ABW186" s="26"/>
      <c r="ABX186" s="26"/>
      <c r="ABY186" s="26"/>
      <c r="ABZ186" s="26"/>
      <c r="ACA186" s="26"/>
      <c r="ACB186" s="26"/>
      <c r="ACC186" s="26"/>
      <c r="ACD186" s="26"/>
      <c r="ACE186" s="26"/>
      <c r="ACF186" s="26"/>
      <c r="ACG186" s="26"/>
      <c r="ACH186" s="26"/>
      <c r="ACI186" s="26"/>
      <c r="ACJ186" s="26"/>
      <c r="ACK186" s="26"/>
      <c r="ACL186" s="26"/>
      <c r="ACM186" s="26"/>
      <c r="ACN186" s="26"/>
      <c r="ACO186" s="26"/>
      <c r="ACP186" s="26"/>
      <c r="ACQ186" s="26"/>
      <c r="ACR186" s="26"/>
      <c r="ACS186" s="26"/>
      <c r="ACT186" s="26"/>
      <c r="ACU186" s="26"/>
      <c r="ACV186" s="26"/>
      <c r="ACW186" s="26"/>
      <c r="ACX186" s="26"/>
      <c r="ACY186" s="26"/>
      <c r="ACZ186" s="26"/>
      <c r="ADA186" s="26"/>
      <c r="ADB186" s="26"/>
      <c r="ADC186" s="26"/>
      <c r="ADD186" s="26"/>
      <c r="ADE186" s="26"/>
      <c r="ADF186" s="26"/>
      <c r="ADG186" s="26"/>
      <c r="ADH186" s="26"/>
      <c r="ADI186" s="26"/>
      <c r="ADJ186" s="26"/>
      <c r="ADK186" s="26"/>
      <c r="ADL186" s="26"/>
      <c r="ADM186" s="26"/>
      <c r="ADN186" s="26"/>
      <c r="ADO186" s="26"/>
      <c r="ADP186" s="26"/>
      <c r="ADQ186" s="26"/>
      <c r="ADR186" s="26"/>
      <c r="ADS186" s="26"/>
      <c r="ADT186" s="26"/>
      <c r="ADU186" s="26"/>
      <c r="ADV186" s="26"/>
      <c r="ADW186" s="26"/>
      <c r="ADX186" s="26"/>
      <c r="ADY186" s="26"/>
      <c r="ADZ186" s="26"/>
      <c r="AEA186" s="26"/>
      <c r="AEB186" s="26"/>
      <c r="AEC186" s="26"/>
      <c r="AED186" s="26"/>
      <c r="AEE186" s="26"/>
      <c r="AEF186" s="26"/>
      <c r="AEG186" s="26"/>
      <c r="AEH186" s="26"/>
      <c r="AEI186" s="26"/>
      <c r="AEJ186" s="26"/>
      <c r="AEK186" s="26"/>
      <c r="AEL186" s="26"/>
      <c r="AEM186" s="26"/>
      <c r="AEN186" s="26"/>
      <c r="AEO186" s="26"/>
      <c r="AEP186" s="26"/>
      <c r="AEQ186" s="26"/>
      <c r="AER186" s="26"/>
      <c r="AES186" s="26"/>
      <c r="AET186" s="26"/>
      <c r="AEU186" s="26"/>
      <c r="AEV186" s="26"/>
      <c r="AEW186" s="26"/>
      <c r="AEX186" s="26"/>
      <c r="AEY186" s="26"/>
      <c r="AEZ186" s="26"/>
      <c r="AFA186" s="26"/>
      <c r="AFB186" s="26"/>
      <c r="AFC186" s="26"/>
      <c r="AFD186" s="26"/>
      <c r="AFE186" s="26"/>
      <c r="AFF186" s="26"/>
      <c r="AFG186" s="26"/>
      <c r="AFH186" s="26"/>
      <c r="AFI186" s="26"/>
      <c r="AFJ186" s="26"/>
      <c r="AFK186" s="26"/>
      <c r="AFL186" s="26"/>
      <c r="AFM186" s="26"/>
      <c r="AFN186" s="26"/>
      <c r="AFO186" s="26"/>
      <c r="AFP186" s="26"/>
      <c r="AFQ186" s="26"/>
      <c r="AFR186" s="26"/>
      <c r="AFS186" s="26"/>
      <c r="AFT186" s="26"/>
      <c r="AFU186" s="26"/>
      <c r="AFV186" s="26"/>
      <c r="AFW186" s="26"/>
      <c r="AFX186" s="26"/>
      <c r="AFY186" s="26"/>
      <c r="AFZ186" s="26"/>
      <c r="AGA186" s="26"/>
      <c r="AGB186" s="26"/>
      <c r="AGC186" s="26"/>
      <c r="AGD186" s="26"/>
      <c r="AGE186" s="26"/>
      <c r="AGF186" s="26"/>
      <c r="AGG186" s="26"/>
      <c r="AGH186" s="26"/>
      <c r="AGI186" s="26"/>
      <c r="AGJ186" s="26"/>
      <c r="AGK186" s="26"/>
      <c r="AGL186" s="26"/>
      <c r="AGM186" s="26"/>
      <c r="AGN186" s="26"/>
      <c r="AGO186" s="26"/>
      <c r="AGP186" s="26"/>
      <c r="AGQ186" s="26"/>
      <c r="AGR186" s="26"/>
      <c r="AGS186" s="26"/>
      <c r="AGT186" s="26"/>
      <c r="AGU186" s="26"/>
      <c r="AGV186" s="26"/>
      <c r="AGW186" s="26"/>
      <c r="AGX186" s="26"/>
      <c r="AGY186" s="26"/>
      <c r="AGZ186" s="26"/>
      <c r="AHA186" s="26"/>
      <c r="AHB186" s="26"/>
      <c r="AHC186" s="26"/>
      <c r="AHD186" s="26"/>
      <c r="AHE186" s="26"/>
      <c r="AHF186" s="26"/>
      <c r="AHG186" s="26"/>
      <c r="AHH186" s="26"/>
      <c r="AHI186" s="26"/>
      <c r="AHJ186" s="26"/>
      <c r="AHK186" s="26"/>
      <c r="AHL186" s="26"/>
      <c r="AHM186" s="26"/>
      <c r="AHN186" s="26"/>
      <c r="AHO186" s="26"/>
      <c r="AHP186" s="26"/>
      <c r="AHQ186" s="26"/>
      <c r="AHR186" s="26"/>
      <c r="AHS186" s="26"/>
      <c r="AHT186" s="26"/>
      <c r="AHU186" s="26"/>
      <c r="AHV186" s="26"/>
      <c r="AHW186" s="26"/>
      <c r="AHX186" s="26"/>
      <c r="AHY186" s="26"/>
      <c r="AHZ186" s="26"/>
      <c r="AIA186" s="26"/>
      <c r="AIB186" s="26"/>
      <c r="AIC186" s="26"/>
      <c r="AID186" s="26"/>
      <c r="AIE186" s="26"/>
      <c r="AIF186" s="26"/>
      <c r="AIG186" s="26"/>
      <c r="AIH186" s="26"/>
      <c r="AII186" s="26"/>
      <c r="AIJ186" s="26"/>
      <c r="AIK186" s="26"/>
      <c r="AIL186" s="26"/>
      <c r="AIM186" s="26"/>
      <c r="AIN186" s="26"/>
      <c r="AIO186" s="26"/>
      <c r="AIP186" s="26"/>
      <c r="AIQ186" s="26"/>
      <c r="AIR186" s="26"/>
      <c r="AIS186" s="26"/>
      <c r="AIT186" s="26"/>
      <c r="AIU186" s="26"/>
      <c r="AIV186" s="26"/>
      <c r="AIW186" s="26"/>
      <c r="AIX186" s="26"/>
      <c r="AIY186" s="26"/>
      <c r="AIZ186" s="26"/>
      <c r="AJA186" s="26"/>
      <c r="AJB186" s="26"/>
      <c r="AJC186" s="26"/>
      <c r="AJD186" s="26"/>
      <c r="AJE186" s="26"/>
      <c r="AJF186" s="26"/>
      <c r="AJG186" s="26"/>
      <c r="AJH186" s="26"/>
      <c r="AJI186" s="26"/>
      <c r="AJJ186" s="26"/>
      <c r="AJK186" s="26"/>
      <c r="AJL186" s="26"/>
      <c r="AJM186" s="26"/>
      <c r="AJN186" s="26"/>
      <c r="AJO186" s="26"/>
      <c r="AJP186" s="26"/>
      <c r="AJQ186" s="26"/>
      <c r="AJR186" s="26"/>
      <c r="AJS186" s="26"/>
      <c r="AJT186" s="26"/>
      <c r="AJU186" s="26"/>
      <c r="AJV186" s="26"/>
      <c r="AJW186" s="26"/>
      <c r="AJX186" s="26"/>
      <c r="AJY186" s="26"/>
      <c r="AJZ186" s="26"/>
      <c r="AKA186" s="26"/>
      <c r="AKB186" s="26"/>
      <c r="AKC186" s="26"/>
      <c r="AKD186" s="26"/>
      <c r="AKE186" s="26"/>
      <c r="AKF186" s="26"/>
      <c r="AKG186" s="26"/>
      <c r="AKH186" s="26"/>
      <c r="AKI186" s="26"/>
      <c r="AKJ186" s="26"/>
      <c r="AKK186" s="26"/>
      <c r="AKL186" s="26"/>
      <c r="AKM186" s="26"/>
      <c r="AKN186" s="26"/>
      <c r="AKO186" s="26"/>
      <c r="AKP186" s="26"/>
      <c r="AKQ186" s="26"/>
      <c r="AKR186" s="26"/>
      <c r="AKS186" s="26"/>
      <c r="AKT186" s="26"/>
      <c r="AKU186" s="26"/>
      <c r="AKV186" s="26"/>
      <c r="AKW186" s="26"/>
      <c r="AKX186" s="26"/>
      <c r="AKY186" s="26"/>
      <c r="AKZ186" s="26"/>
      <c r="ALA186" s="26"/>
      <c r="ALB186" s="26"/>
      <c r="ALC186" s="26"/>
      <c r="ALD186" s="26"/>
      <c r="ALE186" s="26"/>
      <c r="ALF186" s="26"/>
      <c r="ALG186" s="26"/>
      <c r="ALH186" s="26"/>
      <c r="ALI186" s="26"/>
      <c r="ALJ186" s="26"/>
      <c r="ALK186" s="26"/>
      <c r="ALL186" s="26"/>
      <c r="ALM186" s="26"/>
      <c r="ALN186" s="26"/>
      <c r="ALO186" s="26"/>
      <c r="ALP186" s="26"/>
      <c r="ALQ186" s="26"/>
      <c r="ALR186" s="26"/>
      <c r="ALS186" s="26"/>
      <c r="ALT186" s="26"/>
      <c r="ALU186" s="26"/>
      <c r="ALV186" s="26"/>
      <c r="ALW186" s="26"/>
      <c r="ALX186" s="26"/>
      <c r="ALY186" s="26"/>
      <c r="ALZ186" s="26"/>
      <c r="AMA186" s="26"/>
      <c r="AMB186" s="26"/>
      <c r="AMC186" s="26"/>
      <c r="AMD186" s="26"/>
      <c r="AME186" s="26"/>
      <c r="AMF186" s="26"/>
      <c r="AMG186" s="26"/>
      <c r="AMH186" s="26"/>
      <c r="AMI186" s="26"/>
      <c r="AMJ186" s="26"/>
    </row>
    <row r="187" spans="1:1024" s="28" customFormat="1">
      <c r="A187" s="2"/>
      <c r="B187" s="2"/>
      <c r="C187" s="2"/>
      <c r="D187" s="67"/>
      <c r="E187" s="1"/>
      <c r="F187" s="4"/>
      <c r="G187" s="57"/>
      <c r="H187" s="3"/>
      <c r="I187" s="3"/>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c r="IU187" s="26"/>
      <c r="IV187" s="26"/>
      <c r="IW187" s="26"/>
      <c r="IX187" s="26"/>
      <c r="IY187" s="26"/>
      <c r="IZ187" s="26"/>
      <c r="JA187" s="26"/>
      <c r="JB187" s="26"/>
      <c r="JC187" s="26"/>
      <c r="JD187" s="26"/>
      <c r="JE187" s="26"/>
      <c r="JF187" s="26"/>
      <c r="JG187" s="26"/>
      <c r="JH187" s="26"/>
      <c r="JI187" s="26"/>
      <c r="JJ187" s="26"/>
      <c r="JK187" s="26"/>
      <c r="JL187" s="26"/>
      <c r="JM187" s="26"/>
      <c r="JN187" s="26"/>
      <c r="JO187" s="26"/>
      <c r="JP187" s="26"/>
      <c r="JQ187" s="26"/>
      <c r="JR187" s="26"/>
      <c r="JS187" s="26"/>
      <c r="JT187" s="26"/>
      <c r="JU187" s="26"/>
      <c r="JV187" s="26"/>
      <c r="JW187" s="26"/>
      <c r="JX187" s="26"/>
      <c r="JY187" s="26"/>
      <c r="JZ187" s="26"/>
      <c r="KA187" s="26"/>
      <c r="KB187" s="26"/>
      <c r="KC187" s="26"/>
      <c r="KD187" s="26"/>
      <c r="KE187" s="26"/>
      <c r="KF187" s="26"/>
      <c r="KG187" s="26"/>
      <c r="KH187" s="26"/>
      <c r="KI187" s="26"/>
      <c r="KJ187" s="26"/>
      <c r="KK187" s="26"/>
      <c r="KL187" s="26"/>
      <c r="KM187" s="26"/>
      <c r="KN187" s="26"/>
      <c r="KO187" s="26"/>
      <c r="KP187" s="26"/>
      <c r="KQ187" s="26"/>
      <c r="KR187" s="26"/>
      <c r="KS187" s="26"/>
      <c r="KT187" s="26"/>
      <c r="KU187" s="26"/>
      <c r="KV187" s="26"/>
      <c r="KW187" s="26"/>
      <c r="KX187" s="26"/>
      <c r="KY187" s="26"/>
      <c r="KZ187" s="26"/>
      <c r="LA187" s="26"/>
      <c r="LB187" s="26"/>
      <c r="LC187" s="26"/>
      <c r="LD187" s="26"/>
      <c r="LE187" s="26"/>
      <c r="LF187" s="26"/>
      <c r="LG187" s="26"/>
      <c r="LH187" s="26"/>
      <c r="LI187" s="26"/>
      <c r="LJ187" s="26"/>
      <c r="LK187" s="26"/>
      <c r="LL187" s="26"/>
      <c r="LM187" s="26"/>
      <c r="LN187" s="26"/>
      <c r="LO187" s="26"/>
      <c r="LP187" s="26"/>
      <c r="LQ187" s="26"/>
      <c r="LR187" s="26"/>
      <c r="LS187" s="26"/>
      <c r="LT187" s="26"/>
      <c r="LU187" s="26"/>
      <c r="LV187" s="26"/>
      <c r="LW187" s="26"/>
      <c r="LX187" s="26"/>
      <c r="LY187" s="26"/>
      <c r="LZ187" s="26"/>
      <c r="MA187" s="26"/>
      <c r="MB187" s="26"/>
      <c r="MC187" s="26"/>
      <c r="MD187" s="26"/>
      <c r="ME187" s="26"/>
      <c r="MF187" s="26"/>
      <c r="MG187" s="26"/>
      <c r="MH187" s="26"/>
      <c r="MI187" s="26"/>
      <c r="MJ187" s="26"/>
      <c r="MK187" s="26"/>
      <c r="ML187" s="26"/>
      <c r="MM187" s="26"/>
      <c r="MN187" s="26"/>
      <c r="MO187" s="26"/>
      <c r="MP187" s="26"/>
      <c r="MQ187" s="26"/>
      <c r="MR187" s="26"/>
      <c r="MS187" s="26"/>
      <c r="MT187" s="26"/>
      <c r="MU187" s="26"/>
      <c r="MV187" s="26"/>
      <c r="MW187" s="26"/>
      <c r="MX187" s="26"/>
      <c r="MY187" s="26"/>
      <c r="MZ187" s="26"/>
      <c r="NA187" s="26"/>
      <c r="NB187" s="26"/>
      <c r="NC187" s="26"/>
      <c r="ND187" s="26"/>
      <c r="NE187" s="26"/>
      <c r="NF187" s="26"/>
      <c r="NG187" s="26"/>
      <c r="NH187" s="26"/>
      <c r="NI187" s="26"/>
      <c r="NJ187" s="26"/>
      <c r="NK187" s="26"/>
      <c r="NL187" s="26"/>
      <c r="NM187" s="26"/>
      <c r="NN187" s="26"/>
      <c r="NO187" s="26"/>
      <c r="NP187" s="26"/>
      <c r="NQ187" s="26"/>
      <c r="NR187" s="26"/>
      <c r="NS187" s="26"/>
      <c r="NT187" s="26"/>
      <c r="NU187" s="26"/>
      <c r="NV187" s="26"/>
      <c r="NW187" s="26"/>
      <c r="NX187" s="26"/>
      <c r="NY187" s="26"/>
      <c r="NZ187" s="26"/>
      <c r="OA187" s="26"/>
      <c r="OB187" s="26"/>
      <c r="OC187" s="26"/>
      <c r="OD187" s="26"/>
      <c r="OE187" s="26"/>
      <c r="OF187" s="26"/>
      <c r="OG187" s="26"/>
      <c r="OH187" s="26"/>
      <c r="OI187" s="26"/>
      <c r="OJ187" s="26"/>
      <c r="OK187" s="26"/>
      <c r="OL187" s="26"/>
      <c r="OM187" s="26"/>
      <c r="ON187" s="26"/>
      <c r="OO187" s="26"/>
      <c r="OP187" s="26"/>
      <c r="OQ187" s="26"/>
      <c r="OR187" s="26"/>
      <c r="OS187" s="26"/>
      <c r="OT187" s="26"/>
      <c r="OU187" s="26"/>
      <c r="OV187" s="26"/>
      <c r="OW187" s="26"/>
      <c r="OX187" s="26"/>
      <c r="OY187" s="26"/>
      <c r="OZ187" s="26"/>
      <c r="PA187" s="26"/>
      <c r="PB187" s="26"/>
      <c r="PC187" s="26"/>
      <c r="PD187" s="26"/>
      <c r="PE187" s="26"/>
      <c r="PF187" s="26"/>
      <c r="PG187" s="26"/>
      <c r="PH187" s="26"/>
      <c r="PI187" s="26"/>
      <c r="PJ187" s="26"/>
      <c r="PK187" s="26"/>
      <c r="PL187" s="26"/>
      <c r="PM187" s="26"/>
      <c r="PN187" s="26"/>
      <c r="PO187" s="26"/>
      <c r="PP187" s="26"/>
      <c r="PQ187" s="26"/>
      <c r="PR187" s="26"/>
      <c r="PS187" s="26"/>
      <c r="PT187" s="26"/>
      <c r="PU187" s="26"/>
      <c r="PV187" s="26"/>
      <c r="PW187" s="26"/>
      <c r="PX187" s="26"/>
      <c r="PY187" s="26"/>
      <c r="PZ187" s="26"/>
      <c r="QA187" s="26"/>
      <c r="QB187" s="26"/>
      <c r="QC187" s="26"/>
      <c r="QD187" s="26"/>
      <c r="QE187" s="26"/>
      <c r="QF187" s="26"/>
      <c r="QG187" s="26"/>
      <c r="QH187" s="26"/>
      <c r="QI187" s="26"/>
      <c r="QJ187" s="26"/>
      <c r="QK187" s="26"/>
      <c r="QL187" s="26"/>
      <c r="QM187" s="26"/>
      <c r="QN187" s="26"/>
      <c r="QO187" s="26"/>
      <c r="QP187" s="26"/>
      <c r="QQ187" s="26"/>
      <c r="QR187" s="26"/>
      <c r="QS187" s="26"/>
      <c r="QT187" s="26"/>
      <c r="QU187" s="26"/>
      <c r="QV187" s="26"/>
      <c r="QW187" s="26"/>
      <c r="QX187" s="26"/>
      <c r="QY187" s="26"/>
      <c r="QZ187" s="26"/>
      <c r="RA187" s="26"/>
      <c r="RB187" s="26"/>
      <c r="RC187" s="26"/>
      <c r="RD187" s="26"/>
      <c r="RE187" s="26"/>
      <c r="RF187" s="26"/>
      <c r="RG187" s="26"/>
      <c r="RH187" s="26"/>
      <c r="RI187" s="26"/>
      <c r="RJ187" s="26"/>
      <c r="RK187" s="26"/>
      <c r="RL187" s="26"/>
      <c r="RM187" s="26"/>
      <c r="RN187" s="26"/>
      <c r="RO187" s="26"/>
      <c r="RP187" s="26"/>
      <c r="RQ187" s="26"/>
      <c r="RR187" s="26"/>
      <c r="RS187" s="26"/>
      <c r="RT187" s="26"/>
      <c r="RU187" s="26"/>
      <c r="RV187" s="26"/>
      <c r="RW187" s="26"/>
      <c r="RX187" s="26"/>
      <c r="RY187" s="26"/>
      <c r="RZ187" s="26"/>
      <c r="SA187" s="26"/>
      <c r="SB187" s="26"/>
      <c r="SC187" s="26"/>
      <c r="SD187" s="26"/>
      <c r="SE187" s="26"/>
      <c r="SF187" s="26"/>
      <c r="SG187" s="26"/>
      <c r="SH187" s="26"/>
      <c r="SI187" s="26"/>
      <c r="SJ187" s="26"/>
      <c r="SK187" s="26"/>
      <c r="SL187" s="26"/>
      <c r="SM187" s="26"/>
      <c r="SN187" s="26"/>
      <c r="SO187" s="26"/>
      <c r="SP187" s="26"/>
      <c r="SQ187" s="26"/>
      <c r="SR187" s="26"/>
      <c r="SS187" s="26"/>
      <c r="ST187" s="26"/>
      <c r="SU187" s="26"/>
      <c r="SV187" s="26"/>
      <c r="SW187" s="26"/>
      <c r="SX187" s="26"/>
      <c r="SY187" s="26"/>
      <c r="SZ187" s="26"/>
      <c r="TA187" s="26"/>
      <c r="TB187" s="26"/>
      <c r="TC187" s="26"/>
      <c r="TD187" s="26"/>
      <c r="TE187" s="26"/>
      <c r="TF187" s="26"/>
      <c r="TG187" s="26"/>
      <c r="TH187" s="26"/>
      <c r="TI187" s="26"/>
      <c r="TJ187" s="26"/>
      <c r="TK187" s="26"/>
      <c r="TL187" s="26"/>
      <c r="TM187" s="26"/>
      <c r="TN187" s="26"/>
      <c r="TO187" s="26"/>
      <c r="TP187" s="26"/>
      <c r="TQ187" s="26"/>
      <c r="TR187" s="26"/>
      <c r="TS187" s="26"/>
      <c r="TT187" s="26"/>
      <c r="TU187" s="26"/>
      <c r="TV187" s="26"/>
      <c r="TW187" s="26"/>
      <c r="TX187" s="26"/>
      <c r="TY187" s="26"/>
      <c r="TZ187" s="26"/>
      <c r="UA187" s="26"/>
      <c r="UB187" s="26"/>
      <c r="UC187" s="26"/>
      <c r="UD187" s="26"/>
      <c r="UE187" s="26"/>
      <c r="UF187" s="26"/>
      <c r="UG187" s="26"/>
      <c r="UH187" s="26"/>
      <c r="UI187" s="26"/>
      <c r="UJ187" s="26"/>
      <c r="UK187" s="26"/>
      <c r="UL187" s="26"/>
      <c r="UM187" s="26"/>
      <c r="UN187" s="26"/>
      <c r="UO187" s="26"/>
      <c r="UP187" s="26"/>
      <c r="UQ187" s="26"/>
      <c r="UR187" s="26"/>
      <c r="US187" s="26"/>
      <c r="UT187" s="26"/>
      <c r="UU187" s="26"/>
      <c r="UV187" s="26"/>
      <c r="UW187" s="26"/>
      <c r="UX187" s="26"/>
      <c r="UY187" s="26"/>
      <c r="UZ187" s="26"/>
      <c r="VA187" s="26"/>
      <c r="VB187" s="26"/>
      <c r="VC187" s="26"/>
      <c r="VD187" s="26"/>
      <c r="VE187" s="26"/>
      <c r="VF187" s="26"/>
      <c r="VG187" s="26"/>
      <c r="VH187" s="26"/>
      <c r="VI187" s="26"/>
      <c r="VJ187" s="26"/>
      <c r="VK187" s="26"/>
      <c r="VL187" s="26"/>
      <c r="VM187" s="26"/>
      <c r="VN187" s="26"/>
      <c r="VO187" s="26"/>
      <c r="VP187" s="26"/>
      <c r="VQ187" s="26"/>
      <c r="VR187" s="26"/>
      <c r="VS187" s="26"/>
      <c r="VT187" s="26"/>
      <c r="VU187" s="26"/>
      <c r="VV187" s="26"/>
      <c r="VW187" s="26"/>
      <c r="VX187" s="26"/>
      <c r="VY187" s="26"/>
      <c r="VZ187" s="26"/>
      <c r="WA187" s="26"/>
      <c r="WB187" s="26"/>
      <c r="WC187" s="26"/>
      <c r="WD187" s="26"/>
      <c r="WE187" s="26"/>
      <c r="WF187" s="26"/>
      <c r="WG187" s="26"/>
      <c r="WH187" s="26"/>
      <c r="WI187" s="26"/>
      <c r="WJ187" s="26"/>
      <c r="WK187" s="26"/>
      <c r="WL187" s="26"/>
      <c r="WM187" s="26"/>
      <c r="WN187" s="26"/>
      <c r="WO187" s="26"/>
      <c r="WP187" s="26"/>
      <c r="WQ187" s="26"/>
      <c r="WR187" s="26"/>
      <c r="WS187" s="26"/>
      <c r="WT187" s="26"/>
      <c r="WU187" s="26"/>
      <c r="WV187" s="26"/>
      <c r="WW187" s="26"/>
      <c r="WX187" s="26"/>
      <c r="WY187" s="26"/>
      <c r="WZ187" s="26"/>
      <c r="XA187" s="26"/>
      <c r="XB187" s="26"/>
      <c r="XC187" s="26"/>
      <c r="XD187" s="26"/>
      <c r="XE187" s="26"/>
      <c r="XF187" s="26"/>
      <c r="XG187" s="26"/>
      <c r="XH187" s="26"/>
      <c r="XI187" s="26"/>
      <c r="XJ187" s="26"/>
      <c r="XK187" s="26"/>
      <c r="XL187" s="26"/>
      <c r="XM187" s="26"/>
      <c r="XN187" s="26"/>
      <c r="XO187" s="26"/>
      <c r="XP187" s="26"/>
      <c r="XQ187" s="26"/>
      <c r="XR187" s="26"/>
      <c r="XS187" s="26"/>
      <c r="XT187" s="26"/>
      <c r="XU187" s="26"/>
      <c r="XV187" s="26"/>
      <c r="XW187" s="26"/>
      <c r="XX187" s="26"/>
      <c r="XY187" s="26"/>
      <c r="XZ187" s="26"/>
      <c r="YA187" s="26"/>
      <c r="YB187" s="26"/>
      <c r="YC187" s="26"/>
      <c r="YD187" s="26"/>
      <c r="YE187" s="26"/>
      <c r="YF187" s="26"/>
      <c r="YG187" s="26"/>
      <c r="YH187" s="26"/>
      <c r="YI187" s="26"/>
      <c r="YJ187" s="26"/>
      <c r="YK187" s="26"/>
      <c r="YL187" s="26"/>
      <c r="YM187" s="26"/>
      <c r="YN187" s="26"/>
      <c r="YO187" s="26"/>
      <c r="YP187" s="26"/>
      <c r="YQ187" s="26"/>
      <c r="YR187" s="26"/>
      <c r="YS187" s="26"/>
      <c r="YT187" s="26"/>
      <c r="YU187" s="26"/>
      <c r="YV187" s="26"/>
      <c r="YW187" s="26"/>
      <c r="YX187" s="26"/>
      <c r="YY187" s="26"/>
      <c r="YZ187" s="26"/>
      <c r="ZA187" s="26"/>
      <c r="ZB187" s="26"/>
      <c r="ZC187" s="26"/>
      <c r="ZD187" s="26"/>
      <c r="ZE187" s="26"/>
      <c r="ZF187" s="26"/>
      <c r="ZG187" s="26"/>
      <c r="ZH187" s="26"/>
      <c r="ZI187" s="26"/>
      <c r="ZJ187" s="26"/>
      <c r="ZK187" s="26"/>
      <c r="ZL187" s="26"/>
      <c r="ZM187" s="26"/>
      <c r="ZN187" s="26"/>
      <c r="ZO187" s="26"/>
      <c r="ZP187" s="26"/>
      <c r="ZQ187" s="26"/>
      <c r="ZR187" s="26"/>
      <c r="ZS187" s="26"/>
      <c r="ZT187" s="26"/>
      <c r="ZU187" s="26"/>
      <c r="ZV187" s="26"/>
      <c r="ZW187" s="26"/>
      <c r="ZX187" s="26"/>
      <c r="ZY187" s="26"/>
      <c r="ZZ187" s="26"/>
      <c r="AAA187" s="26"/>
      <c r="AAB187" s="26"/>
      <c r="AAC187" s="26"/>
      <c r="AAD187" s="26"/>
      <c r="AAE187" s="26"/>
      <c r="AAF187" s="26"/>
      <c r="AAG187" s="26"/>
      <c r="AAH187" s="26"/>
      <c r="AAI187" s="26"/>
      <c r="AAJ187" s="26"/>
      <c r="AAK187" s="26"/>
      <c r="AAL187" s="26"/>
      <c r="AAM187" s="26"/>
      <c r="AAN187" s="26"/>
      <c r="AAO187" s="26"/>
      <c r="AAP187" s="26"/>
      <c r="AAQ187" s="26"/>
      <c r="AAR187" s="26"/>
      <c r="AAS187" s="26"/>
      <c r="AAT187" s="26"/>
      <c r="AAU187" s="26"/>
      <c r="AAV187" s="26"/>
      <c r="AAW187" s="26"/>
      <c r="AAX187" s="26"/>
      <c r="AAY187" s="26"/>
      <c r="AAZ187" s="26"/>
      <c r="ABA187" s="26"/>
      <c r="ABB187" s="26"/>
      <c r="ABC187" s="26"/>
      <c r="ABD187" s="26"/>
      <c r="ABE187" s="26"/>
      <c r="ABF187" s="26"/>
      <c r="ABG187" s="26"/>
      <c r="ABH187" s="26"/>
      <c r="ABI187" s="26"/>
      <c r="ABJ187" s="26"/>
      <c r="ABK187" s="26"/>
      <c r="ABL187" s="26"/>
      <c r="ABM187" s="26"/>
      <c r="ABN187" s="26"/>
      <c r="ABO187" s="26"/>
      <c r="ABP187" s="26"/>
      <c r="ABQ187" s="26"/>
      <c r="ABR187" s="26"/>
      <c r="ABS187" s="26"/>
      <c r="ABT187" s="26"/>
      <c r="ABU187" s="26"/>
      <c r="ABV187" s="26"/>
      <c r="ABW187" s="26"/>
      <c r="ABX187" s="26"/>
      <c r="ABY187" s="26"/>
      <c r="ABZ187" s="26"/>
      <c r="ACA187" s="26"/>
      <c r="ACB187" s="26"/>
      <c r="ACC187" s="26"/>
      <c r="ACD187" s="26"/>
      <c r="ACE187" s="26"/>
      <c r="ACF187" s="26"/>
      <c r="ACG187" s="26"/>
      <c r="ACH187" s="26"/>
      <c r="ACI187" s="26"/>
      <c r="ACJ187" s="26"/>
      <c r="ACK187" s="26"/>
      <c r="ACL187" s="26"/>
      <c r="ACM187" s="26"/>
      <c r="ACN187" s="26"/>
      <c r="ACO187" s="26"/>
      <c r="ACP187" s="26"/>
      <c r="ACQ187" s="26"/>
      <c r="ACR187" s="26"/>
      <c r="ACS187" s="26"/>
      <c r="ACT187" s="26"/>
      <c r="ACU187" s="26"/>
      <c r="ACV187" s="26"/>
      <c r="ACW187" s="26"/>
      <c r="ACX187" s="26"/>
      <c r="ACY187" s="26"/>
      <c r="ACZ187" s="26"/>
      <c r="ADA187" s="26"/>
      <c r="ADB187" s="26"/>
      <c r="ADC187" s="26"/>
      <c r="ADD187" s="26"/>
      <c r="ADE187" s="26"/>
      <c r="ADF187" s="26"/>
      <c r="ADG187" s="26"/>
      <c r="ADH187" s="26"/>
      <c r="ADI187" s="26"/>
      <c r="ADJ187" s="26"/>
      <c r="ADK187" s="26"/>
      <c r="ADL187" s="26"/>
      <c r="ADM187" s="26"/>
      <c r="ADN187" s="26"/>
      <c r="ADO187" s="26"/>
      <c r="ADP187" s="26"/>
      <c r="ADQ187" s="26"/>
      <c r="ADR187" s="26"/>
      <c r="ADS187" s="26"/>
      <c r="ADT187" s="26"/>
      <c r="ADU187" s="26"/>
      <c r="ADV187" s="26"/>
      <c r="ADW187" s="26"/>
      <c r="ADX187" s="26"/>
      <c r="ADY187" s="26"/>
      <c r="ADZ187" s="26"/>
      <c r="AEA187" s="26"/>
      <c r="AEB187" s="26"/>
      <c r="AEC187" s="26"/>
      <c r="AED187" s="26"/>
      <c r="AEE187" s="26"/>
      <c r="AEF187" s="26"/>
      <c r="AEG187" s="26"/>
      <c r="AEH187" s="26"/>
      <c r="AEI187" s="26"/>
      <c r="AEJ187" s="26"/>
      <c r="AEK187" s="26"/>
      <c r="AEL187" s="26"/>
      <c r="AEM187" s="26"/>
      <c r="AEN187" s="26"/>
      <c r="AEO187" s="26"/>
      <c r="AEP187" s="26"/>
      <c r="AEQ187" s="26"/>
      <c r="AER187" s="26"/>
      <c r="AES187" s="26"/>
      <c r="AET187" s="26"/>
      <c r="AEU187" s="26"/>
      <c r="AEV187" s="26"/>
      <c r="AEW187" s="26"/>
      <c r="AEX187" s="26"/>
      <c r="AEY187" s="26"/>
      <c r="AEZ187" s="26"/>
      <c r="AFA187" s="26"/>
      <c r="AFB187" s="26"/>
      <c r="AFC187" s="26"/>
      <c r="AFD187" s="26"/>
      <c r="AFE187" s="26"/>
      <c r="AFF187" s="26"/>
      <c r="AFG187" s="26"/>
      <c r="AFH187" s="26"/>
      <c r="AFI187" s="26"/>
      <c r="AFJ187" s="26"/>
      <c r="AFK187" s="26"/>
      <c r="AFL187" s="26"/>
      <c r="AFM187" s="26"/>
      <c r="AFN187" s="26"/>
      <c r="AFO187" s="26"/>
      <c r="AFP187" s="26"/>
      <c r="AFQ187" s="26"/>
      <c r="AFR187" s="26"/>
      <c r="AFS187" s="26"/>
      <c r="AFT187" s="26"/>
      <c r="AFU187" s="26"/>
      <c r="AFV187" s="26"/>
      <c r="AFW187" s="26"/>
      <c r="AFX187" s="26"/>
      <c r="AFY187" s="26"/>
      <c r="AFZ187" s="26"/>
      <c r="AGA187" s="26"/>
      <c r="AGB187" s="26"/>
      <c r="AGC187" s="26"/>
      <c r="AGD187" s="26"/>
      <c r="AGE187" s="26"/>
      <c r="AGF187" s="26"/>
      <c r="AGG187" s="26"/>
      <c r="AGH187" s="26"/>
      <c r="AGI187" s="26"/>
      <c r="AGJ187" s="26"/>
      <c r="AGK187" s="26"/>
      <c r="AGL187" s="26"/>
      <c r="AGM187" s="26"/>
      <c r="AGN187" s="26"/>
      <c r="AGO187" s="26"/>
      <c r="AGP187" s="26"/>
      <c r="AGQ187" s="26"/>
      <c r="AGR187" s="26"/>
      <c r="AGS187" s="26"/>
      <c r="AGT187" s="26"/>
      <c r="AGU187" s="26"/>
      <c r="AGV187" s="26"/>
      <c r="AGW187" s="26"/>
      <c r="AGX187" s="26"/>
      <c r="AGY187" s="26"/>
      <c r="AGZ187" s="26"/>
      <c r="AHA187" s="26"/>
      <c r="AHB187" s="26"/>
      <c r="AHC187" s="26"/>
      <c r="AHD187" s="26"/>
      <c r="AHE187" s="26"/>
      <c r="AHF187" s="26"/>
      <c r="AHG187" s="26"/>
      <c r="AHH187" s="26"/>
      <c r="AHI187" s="26"/>
      <c r="AHJ187" s="26"/>
      <c r="AHK187" s="26"/>
      <c r="AHL187" s="26"/>
      <c r="AHM187" s="26"/>
      <c r="AHN187" s="26"/>
      <c r="AHO187" s="26"/>
      <c r="AHP187" s="26"/>
      <c r="AHQ187" s="26"/>
      <c r="AHR187" s="26"/>
      <c r="AHS187" s="26"/>
      <c r="AHT187" s="26"/>
      <c r="AHU187" s="26"/>
      <c r="AHV187" s="26"/>
      <c r="AHW187" s="26"/>
      <c r="AHX187" s="26"/>
      <c r="AHY187" s="26"/>
      <c r="AHZ187" s="26"/>
      <c r="AIA187" s="26"/>
      <c r="AIB187" s="26"/>
      <c r="AIC187" s="26"/>
      <c r="AID187" s="26"/>
      <c r="AIE187" s="26"/>
      <c r="AIF187" s="26"/>
      <c r="AIG187" s="26"/>
      <c r="AIH187" s="26"/>
      <c r="AII187" s="26"/>
      <c r="AIJ187" s="26"/>
      <c r="AIK187" s="26"/>
      <c r="AIL187" s="26"/>
      <c r="AIM187" s="26"/>
      <c r="AIN187" s="26"/>
      <c r="AIO187" s="26"/>
      <c r="AIP187" s="26"/>
      <c r="AIQ187" s="26"/>
      <c r="AIR187" s="26"/>
      <c r="AIS187" s="26"/>
      <c r="AIT187" s="26"/>
      <c r="AIU187" s="26"/>
      <c r="AIV187" s="26"/>
      <c r="AIW187" s="26"/>
      <c r="AIX187" s="26"/>
      <c r="AIY187" s="26"/>
      <c r="AIZ187" s="26"/>
      <c r="AJA187" s="26"/>
      <c r="AJB187" s="26"/>
      <c r="AJC187" s="26"/>
      <c r="AJD187" s="26"/>
      <c r="AJE187" s="26"/>
      <c r="AJF187" s="26"/>
      <c r="AJG187" s="26"/>
      <c r="AJH187" s="26"/>
      <c r="AJI187" s="26"/>
      <c r="AJJ187" s="26"/>
      <c r="AJK187" s="26"/>
      <c r="AJL187" s="26"/>
      <c r="AJM187" s="26"/>
      <c r="AJN187" s="26"/>
      <c r="AJO187" s="26"/>
      <c r="AJP187" s="26"/>
      <c r="AJQ187" s="26"/>
      <c r="AJR187" s="26"/>
      <c r="AJS187" s="26"/>
      <c r="AJT187" s="26"/>
      <c r="AJU187" s="26"/>
      <c r="AJV187" s="26"/>
      <c r="AJW187" s="26"/>
      <c r="AJX187" s="26"/>
      <c r="AJY187" s="26"/>
      <c r="AJZ187" s="26"/>
      <c r="AKA187" s="26"/>
      <c r="AKB187" s="26"/>
      <c r="AKC187" s="26"/>
      <c r="AKD187" s="26"/>
      <c r="AKE187" s="26"/>
      <c r="AKF187" s="26"/>
      <c r="AKG187" s="26"/>
      <c r="AKH187" s="26"/>
      <c r="AKI187" s="26"/>
      <c r="AKJ187" s="26"/>
      <c r="AKK187" s="26"/>
      <c r="AKL187" s="26"/>
      <c r="AKM187" s="26"/>
      <c r="AKN187" s="26"/>
      <c r="AKO187" s="26"/>
      <c r="AKP187" s="26"/>
      <c r="AKQ187" s="26"/>
      <c r="AKR187" s="26"/>
      <c r="AKS187" s="26"/>
      <c r="AKT187" s="26"/>
      <c r="AKU187" s="26"/>
      <c r="AKV187" s="26"/>
      <c r="AKW187" s="26"/>
      <c r="AKX187" s="26"/>
      <c r="AKY187" s="26"/>
      <c r="AKZ187" s="26"/>
      <c r="ALA187" s="26"/>
      <c r="ALB187" s="26"/>
      <c r="ALC187" s="26"/>
      <c r="ALD187" s="26"/>
      <c r="ALE187" s="26"/>
      <c r="ALF187" s="26"/>
      <c r="ALG187" s="26"/>
      <c r="ALH187" s="26"/>
      <c r="ALI187" s="26"/>
      <c r="ALJ187" s="26"/>
      <c r="ALK187" s="26"/>
      <c r="ALL187" s="26"/>
      <c r="ALM187" s="26"/>
      <c r="ALN187" s="26"/>
      <c r="ALO187" s="26"/>
      <c r="ALP187" s="26"/>
      <c r="ALQ187" s="26"/>
      <c r="ALR187" s="26"/>
      <c r="ALS187" s="26"/>
      <c r="ALT187" s="26"/>
      <c r="ALU187" s="26"/>
      <c r="ALV187" s="26"/>
      <c r="ALW187" s="26"/>
      <c r="ALX187" s="26"/>
      <c r="ALY187" s="26"/>
      <c r="ALZ187" s="26"/>
      <c r="AMA187" s="26"/>
      <c r="AMB187" s="26"/>
      <c r="AMC187" s="26"/>
      <c r="AMD187" s="26"/>
      <c r="AME187" s="26"/>
      <c r="AMF187" s="26"/>
      <c r="AMG187" s="26"/>
      <c r="AMH187" s="26"/>
      <c r="AMI187" s="26"/>
      <c r="AMJ187" s="26"/>
    </row>
    <row r="188" spans="1:1024" s="28" customFormat="1">
      <c r="A188" s="2"/>
      <c r="B188" s="2"/>
      <c r="C188" s="2"/>
      <c r="D188" s="67"/>
      <c r="E188" s="1"/>
      <c r="F188" s="4"/>
      <c r="G188" s="57"/>
      <c r="H188" s="3"/>
      <c r="I188" s="3"/>
      <c r="J188" s="26"/>
      <c r="K188" s="26"/>
      <c r="L188" s="25"/>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c r="IU188" s="26"/>
      <c r="IV188" s="26"/>
      <c r="IW188" s="26"/>
      <c r="IX188" s="26"/>
      <c r="IY188" s="26"/>
      <c r="IZ188" s="26"/>
      <c r="JA188" s="26"/>
      <c r="JB188" s="26"/>
      <c r="JC188" s="26"/>
      <c r="JD188" s="26"/>
      <c r="JE188" s="26"/>
      <c r="JF188" s="26"/>
      <c r="JG188" s="26"/>
      <c r="JH188" s="26"/>
      <c r="JI188" s="26"/>
      <c r="JJ188" s="26"/>
      <c r="JK188" s="26"/>
      <c r="JL188" s="26"/>
      <c r="JM188" s="26"/>
      <c r="JN188" s="26"/>
      <c r="JO188" s="26"/>
      <c r="JP188" s="26"/>
      <c r="JQ188" s="26"/>
      <c r="JR188" s="26"/>
      <c r="JS188" s="26"/>
      <c r="JT188" s="26"/>
      <c r="JU188" s="26"/>
      <c r="JV188" s="26"/>
      <c r="JW188" s="26"/>
      <c r="JX188" s="26"/>
      <c r="JY188" s="26"/>
      <c r="JZ188" s="26"/>
      <c r="KA188" s="26"/>
      <c r="KB188" s="26"/>
      <c r="KC188" s="26"/>
      <c r="KD188" s="26"/>
      <c r="KE188" s="26"/>
      <c r="KF188" s="26"/>
      <c r="KG188" s="26"/>
      <c r="KH188" s="26"/>
      <c r="KI188" s="26"/>
      <c r="KJ188" s="26"/>
      <c r="KK188" s="26"/>
      <c r="KL188" s="26"/>
      <c r="KM188" s="26"/>
      <c r="KN188" s="26"/>
      <c r="KO188" s="26"/>
      <c r="KP188" s="26"/>
      <c r="KQ188" s="26"/>
      <c r="KR188" s="26"/>
      <c r="KS188" s="26"/>
      <c r="KT188" s="26"/>
      <c r="KU188" s="26"/>
      <c r="KV188" s="26"/>
      <c r="KW188" s="26"/>
      <c r="KX188" s="26"/>
      <c r="KY188" s="26"/>
      <c r="KZ188" s="26"/>
      <c r="LA188" s="26"/>
      <c r="LB188" s="26"/>
      <c r="LC188" s="26"/>
      <c r="LD188" s="26"/>
      <c r="LE188" s="26"/>
      <c r="LF188" s="26"/>
      <c r="LG188" s="26"/>
      <c r="LH188" s="26"/>
      <c r="LI188" s="26"/>
      <c r="LJ188" s="26"/>
      <c r="LK188" s="26"/>
      <c r="LL188" s="26"/>
      <c r="LM188" s="26"/>
      <c r="LN188" s="26"/>
      <c r="LO188" s="26"/>
      <c r="LP188" s="26"/>
      <c r="LQ188" s="26"/>
      <c r="LR188" s="26"/>
      <c r="LS188" s="26"/>
      <c r="LT188" s="26"/>
      <c r="LU188" s="26"/>
      <c r="LV188" s="26"/>
      <c r="LW188" s="26"/>
      <c r="LX188" s="26"/>
      <c r="LY188" s="26"/>
      <c r="LZ188" s="26"/>
      <c r="MA188" s="26"/>
      <c r="MB188" s="26"/>
      <c r="MC188" s="26"/>
      <c r="MD188" s="26"/>
      <c r="ME188" s="26"/>
      <c r="MF188" s="26"/>
      <c r="MG188" s="26"/>
      <c r="MH188" s="26"/>
      <c r="MI188" s="26"/>
      <c r="MJ188" s="26"/>
      <c r="MK188" s="26"/>
      <c r="ML188" s="26"/>
      <c r="MM188" s="26"/>
      <c r="MN188" s="26"/>
      <c r="MO188" s="26"/>
      <c r="MP188" s="26"/>
      <c r="MQ188" s="26"/>
      <c r="MR188" s="26"/>
      <c r="MS188" s="26"/>
      <c r="MT188" s="26"/>
      <c r="MU188" s="26"/>
      <c r="MV188" s="26"/>
      <c r="MW188" s="26"/>
      <c r="MX188" s="26"/>
      <c r="MY188" s="26"/>
      <c r="MZ188" s="26"/>
      <c r="NA188" s="26"/>
      <c r="NB188" s="26"/>
      <c r="NC188" s="26"/>
      <c r="ND188" s="26"/>
      <c r="NE188" s="26"/>
      <c r="NF188" s="26"/>
      <c r="NG188" s="26"/>
      <c r="NH188" s="26"/>
      <c r="NI188" s="26"/>
      <c r="NJ188" s="26"/>
      <c r="NK188" s="26"/>
      <c r="NL188" s="26"/>
      <c r="NM188" s="26"/>
      <c r="NN188" s="26"/>
      <c r="NO188" s="26"/>
      <c r="NP188" s="26"/>
      <c r="NQ188" s="26"/>
      <c r="NR188" s="26"/>
      <c r="NS188" s="26"/>
      <c r="NT188" s="26"/>
      <c r="NU188" s="26"/>
      <c r="NV188" s="26"/>
      <c r="NW188" s="26"/>
      <c r="NX188" s="26"/>
      <c r="NY188" s="26"/>
      <c r="NZ188" s="26"/>
      <c r="OA188" s="26"/>
      <c r="OB188" s="26"/>
      <c r="OC188" s="26"/>
      <c r="OD188" s="26"/>
      <c r="OE188" s="26"/>
      <c r="OF188" s="26"/>
      <c r="OG188" s="26"/>
      <c r="OH188" s="26"/>
      <c r="OI188" s="26"/>
      <c r="OJ188" s="26"/>
      <c r="OK188" s="26"/>
      <c r="OL188" s="26"/>
      <c r="OM188" s="26"/>
      <c r="ON188" s="26"/>
      <c r="OO188" s="26"/>
      <c r="OP188" s="26"/>
      <c r="OQ188" s="26"/>
      <c r="OR188" s="26"/>
      <c r="OS188" s="26"/>
      <c r="OT188" s="26"/>
      <c r="OU188" s="26"/>
      <c r="OV188" s="26"/>
      <c r="OW188" s="26"/>
      <c r="OX188" s="26"/>
      <c r="OY188" s="26"/>
      <c r="OZ188" s="26"/>
      <c r="PA188" s="26"/>
      <c r="PB188" s="26"/>
      <c r="PC188" s="26"/>
      <c r="PD188" s="26"/>
      <c r="PE188" s="26"/>
      <c r="PF188" s="26"/>
      <c r="PG188" s="26"/>
      <c r="PH188" s="26"/>
      <c r="PI188" s="26"/>
      <c r="PJ188" s="26"/>
      <c r="PK188" s="26"/>
      <c r="PL188" s="26"/>
      <c r="PM188" s="26"/>
      <c r="PN188" s="26"/>
      <c r="PO188" s="26"/>
      <c r="PP188" s="26"/>
      <c r="PQ188" s="26"/>
      <c r="PR188" s="26"/>
      <c r="PS188" s="26"/>
      <c r="PT188" s="26"/>
      <c r="PU188" s="26"/>
      <c r="PV188" s="26"/>
      <c r="PW188" s="26"/>
      <c r="PX188" s="26"/>
      <c r="PY188" s="26"/>
      <c r="PZ188" s="26"/>
      <c r="QA188" s="26"/>
      <c r="QB188" s="26"/>
      <c r="QC188" s="26"/>
      <c r="QD188" s="26"/>
      <c r="QE188" s="26"/>
      <c r="QF188" s="26"/>
      <c r="QG188" s="26"/>
      <c r="QH188" s="26"/>
      <c r="QI188" s="26"/>
      <c r="QJ188" s="26"/>
      <c r="QK188" s="26"/>
      <c r="QL188" s="26"/>
      <c r="QM188" s="26"/>
      <c r="QN188" s="26"/>
      <c r="QO188" s="26"/>
      <c r="QP188" s="26"/>
      <c r="QQ188" s="26"/>
      <c r="QR188" s="26"/>
      <c r="QS188" s="26"/>
      <c r="QT188" s="26"/>
      <c r="QU188" s="26"/>
      <c r="QV188" s="26"/>
      <c r="QW188" s="26"/>
      <c r="QX188" s="26"/>
      <c r="QY188" s="26"/>
      <c r="QZ188" s="26"/>
      <c r="RA188" s="26"/>
      <c r="RB188" s="26"/>
      <c r="RC188" s="26"/>
      <c r="RD188" s="26"/>
      <c r="RE188" s="26"/>
      <c r="RF188" s="26"/>
      <c r="RG188" s="26"/>
      <c r="RH188" s="26"/>
      <c r="RI188" s="26"/>
      <c r="RJ188" s="26"/>
      <c r="RK188" s="26"/>
      <c r="RL188" s="26"/>
      <c r="RM188" s="26"/>
      <c r="RN188" s="26"/>
      <c r="RO188" s="26"/>
      <c r="RP188" s="26"/>
      <c r="RQ188" s="26"/>
      <c r="RR188" s="26"/>
      <c r="RS188" s="26"/>
      <c r="RT188" s="26"/>
      <c r="RU188" s="26"/>
      <c r="RV188" s="26"/>
      <c r="RW188" s="26"/>
      <c r="RX188" s="26"/>
      <c r="RY188" s="26"/>
      <c r="RZ188" s="26"/>
      <c r="SA188" s="26"/>
      <c r="SB188" s="26"/>
      <c r="SC188" s="26"/>
      <c r="SD188" s="26"/>
      <c r="SE188" s="26"/>
      <c r="SF188" s="26"/>
      <c r="SG188" s="26"/>
      <c r="SH188" s="26"/>
      <c r="SI188" s="26"/>
      <c r="SJ188" s="26"/>
      <c r="SK188" s="26"/>
      <c r="SL188" s="26"/>
      <c r="SM188" s="26"/>
      <c r="SN188" s="26"/>
      <c r="SO188" s="26"/>
      <c r="SP188" s="26"/>
      <c r="SQ188" s="26"/>
      <c r="SR188" s="26"/>
      <c r="SS188" s="26"/>
      <c r="ST188" s="26"/>
      <c r="SU188" s="26"/>
      <c r="SV188" s="26"/>
      <c r="SW188" s="26"/>
      <c r="SX188" s="26"/>
      <c r="SY188" s="26"/>
      <c r="SZ188" s="26"/>
      <c r="TA188" s="26"/>
      <c r="TB188" s="26"/>
      <c r="TC188" s="26"/>
      <c r="TD188" s="26"/>
      <c r="TE188" s="26"/>
      <c r="TF188" s="26"/>
      <c r="TG188" s="26"/>
      <c r="TH188" s="26"/>
      <c r="TI188" s="26"/>
      <c r="TJ188" s="26"/>
      <c r="TK188" s="26"/>
      <c r="TL188" s="26"/>
      <c r="TM188" s="26"/>
      <c r="TN188" s="26"/>
      <c r="TO188" s="26"/>
      <c r="TP188" s="26"/>
      <c r="TQ188" s="26"/>
      <c r="TR188" s="26"/>
      <c r="TS188" s="26"/>
      <c r="TT188" s="26"/>
      <c r="TU188" s="26"/>
      <c r="TV188" s="26"/>
      <c r="TW188" s="26"/>
      <c r="TX188" s="26"/>
      <c r="TY188" s="26"/>
      <c r="TZ188" s="26"/>
      <c r="UA188" s="26"/>
      <c r="UB188" s="26"/>
      <c r="UC188" s="26"/>
      <c r="UD188" s="26"/>
      <c r="UE188" s="26"/>
      <c r="UF188" s="26"/>
      <c r="UG188" s="26"/>
      <c r="UH188" s="26"/>
      <c r="UI188" s="26"/>
      <c r="UJ188" s="26"/>
      <c r="UK188" s="26"/>
      <c r="UL188" s="26"/>
      <c r="UM188" s="26"/>
      <c r="UN188" s="26"/>
      <c r="UO188" s="26"/>
      <c r="UP188" s="26"/>
      <c r="UQ188" s="26"/>
      <c r="UR188" s="26"/>
      <c r="US188" s="26"/>
      <c r="UT188" s="26"/>
      <c r="UU188" s="26"/>
      <c r="UV188" s="26"/>
      <c r="UW188" s="26"/>
      <c r="UX188" s="26"/>
      <c r="UY188" s="26"/>
      <c r="UZ188" s="26"/>
      <c r="VA188" s="26"/>
      <c r="VB188" s="26"/>
      <c r="VC188" s="26"/>
      <c r="VD188" s="26"/>
      <c r="VE188" s="26"/>
      <c r="VF188" s="26"/>
      <c r="VG188" s="26"/>
      <c r="VH188" s="26"/>
      <c r="VI188" s="26"/>
      <c r="VJ188" s="26"/>
      <c r="VK188" s="26"/>
      <c r="VL188" s="26"/>
      <c r="VM188" s="26"/>
      <c r="VN188" s="26"/>
      <c r="VO188" s="26"/>
      <c r="VP188" s="26"/>
      <c r="VQ188" s="26"/>
      <c r="VR188" s="26"/>
      <c r="VS188" s="26"/>
      <c r="VT188" s="26"/>
      <c r="VU188" s="26"/>
      <c r="VV188" s="26"/>
      <c r="VW188" s="26"/>
      <c r="VX188" s="26"/>
      <c r="VY188" s="26"/>
      <c r="VZ188" s="26"/>
      <c r="WA188" s="26"/>
      <c r="WB188" s="26"/>
      <c r="WC188" s="26"/>
      <c r="WD188" s="26"/>
      <c r="WE188" s="26"/>
      <c r="WF188" s="26"/>
      <c r="WG188" s="26"/>
      <c r="WH188" s="26"/>
      <c r="WI188" s="26"/>
      <c r="WJ188" s="26"/>
      <c r="WK188" s="26"/>
      <c r="WL188" s="26"/>
      <c r="WM188" s="26"/>
      <c r="WN188" s="26"/>
      <c r="WO188" s="26"/>
      <c r="WP188" s="26"/>
      <c r="WQ188" s="26"/>
      <c r="WR188" s="26"/>
      <c r="WS188" s="26"/>
      <c r="WT188" s="26"/>
      <c r="WU188" s="26"/>
      <c r="WV188" s="26"/>
      <c r="WW188" s="26"/>
      <c r="WX188" s="26"/>
      <c r="WY188" s="26"/>
      <c r="WZ188" s="26"/>
      <c r="XA188" s="26"/>
      <c r="XB188" s="26"/>
      <c r="XC188" s="26"/>
      <c r="XD188" s="26"/>
      <c r="XE188" s="26"/>
      <c r="XF188" s="26"/>
      <c r="XG188" s="26"/>
      <c r="XH188" s="26"/>
      <c r="XI188" s="26"/>
      <c r="XJ188" s="26"/>
      <c r="XK188" s="26"/>
      <c r="XL188" s="26"/>
      <c r="XM188" s="26"/>
      <c r="XN188" s="26"/>
      <c r="XO188" s="26"/>
      <c r="XP188" s="26"/>
      <c r="XQ188" s="26"/>
      <c r="XR188" s="26"/>
      <c r="XS188" s="26"/>
      <c r="XT188" s="26"/>
      <c r="XU188" s="26"/>
      <c r="XV188" s="26"/>
      <c r="XW188" s="26"/>
      <c r="XX188" s="26"/>
      <c r="XY188" s="26"/>
      <c r="XZ188" s="26"/>
      <c r="YA188" s="26"/>
      <c r="YB188" s="26"/>
      <c r="YC188" s="26"/>
      <c r="YD188" s="26"/>
      <c r="YE188" s="26"/>
      <c r="YF188" s="26"/>
      <c r="YG188" s="26"/>
      <c r="YH188" s="26"/>
      <c r="YI188" s="26"/>
      <c r="YJ188" s="26"/>
      <c r="YK188" s="26"/>
      <c r="YL188" s="26"/>
      <c r="YM188" s="26"/>
      <c r="YN188" s="26"/>
      <c r="YO188" s="26"/>
      <c r="YP188" s="26"/>
      <c r="YQ188" s="26"/>
      <c r="YR188" s="26"/>
      <c r="YS188" s="26"/>
      <c r="YT188" s="26"/>
      <c r="YU188" s="26"/>
      <c r="YV188" s="26"/>
      <c r="YW188" s="26"/>
      <c r="YX188" s="26"/>
      <c r="YY188" s="26"/>
      <c r="YZ188" s="26"/>
      <c r="ZA188" s="26"/>
      <c r="ZB188" s="26"/>
      <c r="ZC188" s="26"/>
      <c r="ZD188" s="26"/>
      <c r="ZE188" s="26"/>
      <c r="ZF188" s="26"/>
      <c r="ZG188" s="26"/>
      <c r="ZH188" s="26"/>
      <c r="ZI188" s="26"/>
      <c r="ZJ188" s="26"/>
      <c r="ZK188" s="26"/>
      <c r="ZL188" s="26"/>
      <c r="ZM188" s="26"/>
      <c r="ZN188" s="26"/>
      <c r="ZO188" s="26"/>
      <c r="ZP188" s="26"/>
      <c r="ZQ188" s="26"/>
      <c r="ZR188" s="26"/>
      <c r="ZS188" s="26"/>
      <c r="ZT188" s="26"/>
      <c r="ZU188" s="26"/>
      <c r="ZV188" s="26"/>
      <c r="ZW188" s="26"/>
      <c r="ZX188" s="26"/>
      <c r="ZY188" s="26"/>
      <c r="ZZ188" s="26"/>
      <c r="AAA188" s="26"/>
      <c r="AAB188" s="26"/>
      <c r="AAC188" s="26"/>
      <c r="AAD188" s="26"/>
      <c r="AAE188" s="26"/>
      <c r="AAF188" s="26"/>
      <c r="AAG188" s="26"/>
      <c r="AAH188" s="26"/>
      <c r="AAI188" s="26"/>
      <c r="AAJ188" s="26"/>
      <c r="AAK188" s="26"/>
      <c r="AAL188" s="26"/>
      <c r="AAM188" s="26"/>
      <c r="AAN188" s="26"/>
      <c r="AAO188" s="26"/>
      <c r="AAP188" s="26"/>
      <c r="AAQ188" s="26"/>
      <c r="AAR188" s="26"/>
      <c r="AAS188" s="26"/>
      <c r="AAT188" s="26"/>
      <c r="AAU188" s="26"/>
      <c r="AAV188" s="26"/>
      <c r="AAW188" s="26"/>
      <c r="AAX188" s="26"/>
      <c r="AAY188" s="26"/>
      <c r="AAZ188" s="26"/>
      <c r="ABA188" s="26"/>
      <c r="ABB188" s="26"/>
      <c r="ABC188" s="26"/>
      <c r="ABD188" s="26"/>
      <c r="ABE188" s="26"/>
      <c r="ABF188" s="26"/>
      <c r="ABG188" s="26"/>
      <c r="ABH188" s="26"/>
      <c r="ABI188" s="26"/>
      <c r="ABJ188" s="26"/>
      <c r="ABK188" s="26"/>
      <c r="ABL188" s="26"/>
      <c r="ABM188" s="26"/>
      <c r="ABN188" s="26"/>
      <c r="ABO188" s="26"/>
      <c r="ABP188" s="26"/>
      <c r="ABQ188" s="26"/>
      <c r="ABR188" s="26"/>
      <c r="ABS188" s="26"/>
      <c r="ABT188" s="26"/>
      <c r="ABU188" s="26"/>
      <c r="ABV188" s="26"/>
      <c r="ABW188" s="26"/>
      <c r="ABX188" s="26"/>
      <c r="ABY188" s="26"/>
      <c r="ABZ188" s="26"/>
      <c r="ACA188" s="26"/>
      <c r="ACB188" s="26"/>
      <c r="ACC188" s="26"/>
      <c r="ACD188" s="26"/>
      <c r="ACE188" s="26"/>
      <c r="ACF188" s="26"/>
      <c r="ACG188" s="26"/>
      <c r="ACH188" s="26"/>
      <c r="ACI188" s="26"/>
      <c r="ACJ188" s="26"/>
      <c r="ACK188" s="26"/>
      <c r="ACL188" s="26"/>
      <c r="ACM188" s="26"/>
      <c r="ACN188" s="26"/>
      <c r="ACO188" s="26"/>
      <c r="ACP188" s="26"/>
      <c r="ACQ188" s="26"/>
      <c r="ACR188" s="26"/>
      <c r="ACS188" s="26"/>
      <c r="ACT188" s="26"/>
      <c r="ACU188" s="26"/>
      <c r="ACV188" s="26"/>
      <c r="ACW188" s="26"/>
      <c r="ACX188" s="26"/>
      <c r="ACY188" s="26"/>
      <c r="ACZ188" s="26"/>
      <c r="ADA188" s="26"/>
      <c r="ADB188" s="26"/>
      <c r="ADC188" s="26"/>
      <c r="ADD188" s="26"/>
      <c r="ADE188" s="26"/>
      <c r="ADF188" s="26"/>
      <c r="ADG188" s="26"/>
      <c r="ADH188" s="26"/>
      <c r="ADI188" s="26"/>
      <c r="ADJ188" s="26"/>
      <c r="ADK188" s="26"/>
      <c r="ADL188" s="26"/>
      <c r="ADM188" s="26"/>
      <c r="ADN188" s="26"/>
      <c r="ADO188" s="26"/>
      <c r="ADP188" s="26"/>
      <c r="ADQ188" s="26"/>
      <c r="ADR188" s="26"/>
      <c r="ADS188" s="26"/>
      <c r="ADT188" s="26"/>
      <c r="ADU188" s="26"/>
      <c r="ADV188" s="26"/>
      <c r="ADW188" s="26"/>
      <c r="ADX188" s="26"/>
      <c r="ADY188" s="26"/>
      <c r="ADZ188" s="26"/>
      <c r="AEA188" s="26"/>
      <c r="AEB188" s="26"/>
      <c r="AEC188" s="26"/>
      <c r="AED188" s="26"/>
      <c r="AEE188" s="26"/>
      <c r="AEF188" s="26"/>
      <c r="AEG188" s="26"/>
      <c r="AEH188" s="26"/>
      <c r="AEI188" s="26"/>
      <c r="AEJ188" s="26"/>
      <c r="AEK188" s="26"/>
      <c r="AEL188" s="26"/>
      <c r="AEM188" s="26"/>
      <c r="AEN188" s="26"/>
      <c r="AEO188" s="26"/>
      <c r="AEP188" s="26"/>
      <c r="AEQ188" s="26"/>
      <c r="AER188" s="26"/>
      <c r="AES188" s="26"/>
      <c r="AET188" s="26"/>
      <c r="AEU188" s="26"/>
      <c r="AEV188" s="26"/>
      <c r="AEW188" s="26"/>
      <c r="AEX188" s="26"/>
      <c r="AEY188" s="26"/>
      <c r="AEZ188" s="26"/>
      <c r="AFA188" s="26"/>
      <c r="AFB188" s="26"/>
      <c r="AFC188" s="26"/>
      <c r="AFD188" s="26"/>
      <c r="AFE188" s="26"/>
      <c r="AFF188" s="26"/>
      <c r="AFG188" s="26"/>
      <c r="AFH188" s="26"/>
      <c r="AFI188" s="26"/>
      <c r="AFJ188" s="26"/>
      <c r="AFK188" s="26"/>
      <c r="AFL188" s="26"/>
      <c r="AFM188" s="26"/>
      <c r="AFN188" s="26"/>
      <c r="AFO188" s="26"/>
      <c r="AFP188" s="26"/>
      <c r="AFQ188" s="26"/>
      <c r="AFR188" s="26"/>
      <c r="AFS188" s="26"/>
      <c r="AFT188" s="26"/>
      <c r="AFU188" s="26"/>
      <c r="AFV188" s="26"/>
      <c r="AFW188" s="26"/>
      <c r="AFX188" s="26"/>
      <c r="AFY188" s="26"/>
      <c r="AFZ188" s="26"/>
      <c r="AGA188" s="26"/>
      <c r="AGB188" s="26"/>
      <c r="AGC188" s="26"/>
      <c r="AGD188" s="26"/>
      <c r="AGE188" s="26"/>
      <c r="AGF188" s="26"/>
      <c r="AGG188" s="26"/>
      <c r="AGH188" s="26"/>
      <c r="AGI188" s="26"/>
      <c r="AGJ188" s="26"/>
      <c r="AGK188" s="26"/>
      <c r="AGL188" s="26"/>
      <c r="AGM188" s="26"/>
      <c r="AGN188" s="26"/>
      <c r="AGO188" s="26"/>
      <c r="AGP188" s="26"/>
      <c r="AGQ188" s="26"/>
      <c r="AGR188" s="26"/>
      <c r="AGS188" s="26"/>
      <c r="AGT188" s="26"/>
      <c r="AGU188" s="26"/>
      <c r="AGV188" s="26"/>
      <c r="AGW188" s="26"/>
      <c r="AGX188" s="26"/>
      <c r="AGY188" s="26"/>
      <c r="AGZ188" s="26"/>
      <c r="AHA188" s="26"/>
      <c r="AHB188" s="26"/>
      <c r="AHC188" s="26"/>
      <c r="AHD188" s="26"/>
      <c r="AHE188" s="26"/>
      <c r="AHF188" s="26"/>
      <c r="AHG188" s="26"/>
      <c r="AHH188" s="26"/>
      <c r="AHI188" s="26"/>
      <c r="AHJ188" s="26"/>
      <c r="AHK188" s="26"/>
      <c r="AHL188" s="26"/>
      <c r="AHM188" s="26"/>
      <c r="AHN188" s="26"/>
      <c r="AHO188" s="26"/>
      <c r="AHP188" s="26"/>
      <c r="AHQ188" s="26"/>
      <c r="AHR188" s="26"/>
      <c r="AHS188" s="26"/>
      <c r="AHT188" s="26"/>
      <c r="AHU188" s="26"/>
      <c r="AHV188" s="26"/>
      <c r="AHW188" s="26"/>
      <c r="AHX188" s="26"/>
      <c r="AHY188" s="26"/>
      <c r="AHZ188" s="26"/>
      <c r="AIA188" s="26"/>
      <c r="AIB188" s="26"/>
      <c r="AIC188" s="26"/>
      <c r="AID188" s="26"/>
      <c r="AIE188" s="26"/>
      <c r="AIF188" s="26"/>
      <c r="AIG188" s="26"/>
      <c r="AIH188" s="26"/>
      <c r="AII188" s="26"/>
      <c r="AIJ188" s="26"/>
      <c r="AIK188" s="26"/>
      <c r="AIL188" s="26"/>
      <c r="AIM188" s="26"/>
      <c r="AIN188" s="26"/>
      <c r="AIO188" s="26"/>
      <c r="AIP188" s="26"/>
      <c r="AIQ188" s="26"/>
      <c r="AIR188" s="26"/>
      <c r="AIS188" s="26"/>
      <c r="AIT188" s="26"/>
      <c r="AIU188" s="26"/>
      <c r="AIV188" s="26"/>
      <c r="AIW188" s="26"/>
      <c r="AIX188" s="26"/>
      <c r="AIY188" s="26"/>
      <c r="AIZ188" s="26"/>
      <c r="AJA188" s="26"/>
      <c r="AJB188" s="26"/>
      <c r="AJC188" s="26"/>
      <c r="AJD188" s="26"/>
      <c r="AJE188" s="26"/>
      <c r="AJF188" s="26"/>
      <c r="AJG188" s="26"/>
      <c r="AJH188" s="26"/>
      <c r="AJI188" s="26"/>
      <c r="AJJ188" s="26"/>
      <c r="AJK188" s="26"/>
      <c r="AJL188" s="26"/>
      <c r="AJM188" s="26"/>
      <c r="AJN188" s="26"/>
      <c r="AJO188" s="26"/>
      <c r="AJP188" s="26"/>
      <c r="AJQ188" s="26"/>
      <c r="AJR188" s="26"/>
      <c r="AJS188" s="26"/>
      <c r="AJT188" s="26"/>
      <c r="AJU188" s="26"/>
      <c r="AJV188" s="26"/>
      <c r="AJW188" s="26"/>
      <c r="AJX188" s="26"/>
      <c r="AJY188" s="26"/>
      <c r="AJZ188" s="26"/>
      <c r="AKA188" s="26"/>
      <c r="AKB188" s="26"/>
      <c r="AKC188" s="26"/>
      <c r="AKD188" s="26"/>
      <c r="AKE188" s="26"/>
      <c r="AKF188" s="26"/>
      <c r="AKG188" s="26"/>
      <c r="AKH188" s="26"/>
      <c r="AKI188" s="26"/>
      <c r="AKJ188" s="26"/>
      <c r="AKK188" s="26"/>
      <c r="AKL188" s="26"/>
      <c r="AKM188" s="26"/>
      <c r="AKN188" s="26"/>
      <c r="AKO188" s="26"/>
      <c r="AKP188" s="26"/>
      <c r="AKQ188" s="26"/>
      <c r="AKR188" s="26"/>
      <c r="AKS188" s="26"/>
      <c r="AKT188" s="26"/>
      <c r="AKU188" s="26"/>
      <c r="AKV188" s="26"/>
      <c r="AKW188" s="26"/>
      <c r="AKX188" s="26"/>
      <c r="AKY188" s="26"/>
      <c r="AKZ188" s="26"/>
      <c r="ALA188" s="26"/>
      <c r="ALB188" s="26"/>
      <c r="ALC188" s="26"/>
      <c r="ALD188" s="26"/>
      <c r="ALE188" s="26"/>
      <c r="ALF188" s="26"/>
      <c r="ALG188" s="26"/>
      <c r="ALH188" s="26"/>
      <c r="ALI188" s="26"/>
      <c r="ALJ188" s="26"/>
      <c r="ALK188" s="26"/>
      <c r="ALL188" s="26"/>
      <c r="ALM188" s="26"/>
      <c r="ALN188" s="26"/>
      <c r="ALO188" s="26"/>
      <c r="ALP188" s="26"/>
      <c r="ALQ188" s="26"/>
      <c r="ALR188" s="26"/>
      <c r="ALS188" s="26"/>
      <c r="ALT188" s="26"/>
      <c r="ALU188" s="26"/>
      <c r="ALV188" s="26"/>
      <c r="ALW188" s="26"/>
      <c r="ALX188" s="26"/>
      <c r="ALY188" s="26"/>
      <c r="ALZ188" s="26"/>
      <c r="AMA188" s="26"/>
      <c r="AMB188" s="26"/>
      <c r="AMC188" s="26"/>
      <c r="AMD188" s="26"/>
      <c r="AME188" s="26"/>
      <c r="AMF188" s="26"/>
      <c r="AMG188" s="26"/>
      <c r="AMH188" s="26"/>
      <c r="AMI188" s="26"/>
      <c r="AMJ188" s="26"/>
    </row>
    <row r="189" spans="1:1024" s="28" customFormat="1">
      <c r="A189" s="2"/>
      <c r="B189" s="2"/>
      <c r="C189" s="2"/>
      <c r="D189" s="67"/>
      <c r="E189" s="1"/>
      <c r="F189" s="4"/>
      <c r="G189" s="57"/>
      <c r="H189" s="3"/>
      <c r="I189" s="3"/>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c r="IU189" s="26"/>
      <c r="IV189" s="26"/>
      <c r="IW189" s="26"/>
      <c r="IX189" s="26"/>
      <c r="IY189" s="26"/>
      <c r="IZ189" s="26"/>
      <c r="JA189" s="26"/>
      <c r="JB189" s="26"/>
      <c r="JC189" s="26"/>
      <c r="JD189" s="26"/>
      <c r="JE189" s="26"/>
      <c r="JF189" s="26"/>
      <c r="JG189" s="26"/>
      <c r="JH189" s="26"/>
      <c r="JI189" s="26"/>
      <c r="JJ189" s="26"/>
      <c r="JK189" s="26"/>
      <c r="JL189" s="26"/>
      <c r="JM189" s="26"/>
      <c r="JN189" s="26"/>
      <c r="JO189" s="26"/>
      <c r="JP189" s="26"/>
      <c r="JQ189" s="26"/>
      <c r="JR189" s="26"/>
      <c r="JS189" s="26"/>
      <c r="JT189" s="26"/>
      <c r="JU189" s="26"/>
      <c r="JV189" s="26"/>
      <c r="JW189" s="26"/>
      <c r="JX189" s="26"/>
      <c r="JY189" s="26"/>
      <c r="JZ189" s="26"/>
      <c r="KA189" s="26"/>
      <c r="KB189" s="26"/>
      <c r="KC189" s="26"/>
      <c r="KD189" s="26"/>
      <c r="KE189" s="26"/>
      <c r="KF189" s="26"/>
      <c r="KG189" s="26"/>
      <c r="KH189" s="26"/>
      <c r="KI189" s="26"/>
      <c r="KJ189" s="26"/>
      <c r="KK189" s="26"/>
      <c r="KL189" s="26"/>
      <c r="KM189" s="26"/>
      <c r="KN189" s="26"/>
      <c r="KO189" s="26"/>
      <c r="KP189" s="26"/>
      <c r="KQ189" s="26"/>
      <c r="KR189" s="26"/>
      <c r="KS189" s="26"/>
      <c r="KT189" s="26"/>
      <c r="KU189" s="26"/>
      <c r="KV189" s="26"/>
      <c r="KW189" s="26"/>
      <c r="KX189" s="26"/>
      <c r="KY189" s="26"/>
      <c r="KZ189" s="26"/>
      <c r="LA189" s="26"/>
      <c r="LB189" s="26"/>
      <c r="LC189" s="26"/>
      <c r="LD189" s="26"/>
      <c r="LE189" s="26"/>
      <c r="LF189" s="26"/>
      <c r="LG189" s="26"/>
      <c r="LH189" s="26"/>
      <c r="LI189" s="26"/>
      <c r="LJ189" s="26"/>
      <c r="LK189" s="26"/>
      <c r="LL189" s="26"/>
      <c r="LM189" s="26"/>
      <c r="LN189" s="26"/>
      <c r="LO189" s="26"/>
      <c r="LP189" s="26"/>
      <c r="LQ189" s="26"/>
      <c r="LR189" s="26"/>
      <c r="LS189" s="26"/>
      <c r="LT189" s="26"/>
      <c r="LU189" s="26"/>
      <c r="LV189" s="26"/>
      <c r="LW189" s="26"/>
      <c r="LX189" s="26"/>
      <c r="LY189" s="26"/>
      <c r="LZ189" s="26"/>
      <c r="MA189" s="26"/>
      <c r="MB189" s="26"/>
      <c r="MC189" s="26"/>
      <c r="MD189" s="26"/>
      <c r="ME189" s="26"/>
      <c r="MF189" s="26"/>
      <c r="MG189" s="26"/>
      <c r="MH189" s="26"/>
      <c r="MI189" s="26"/>
      <c r="MJ189" s="26"/>
      <c r="MK189" s="26"/>
      <c r="ML189" s="26"/>
      <c r="MM189" s="26"/>
      <c r="MN189" s="26"/>
      <c r="MO189" s="26"/>
      <c r="MP189" s="26"/>
      <c r="MQ189" s="26"/>
      <c r="MR189" s="26"/>
      <c r="MS189" s="26"/>
      <c r="MT189" s="26"/>
      <c r="MU189" s="26"/>
      <c r="MV189" s="26"/>
      <c r="MW189" s="26"/>
      <c r="MX189" s="26"/>
      <c r="MY189" s="26"/>
      <c r="MZ189" s="26"/>
      <c r="NA189" s="26"/>
      <c r="NB189" s="26"/>
      <c r="NC189" s="26"/>
      <c r="ND189" s="26"/>
      <c r="NE189" s="26"/>
      <c r="NF189" s="26"/>
      <c r="NG189" s="26"/>
      <c r="NH189" s="26"/>
      <c r="NI189" s="26"/>
      <c r="NJ189" s="26"/>
      <c r="NK189" s="26"/>
      <c r="NL189" s="26"/>
      <c r="NM189" s="26"/>
      <c r="NN189" s="26"/>
      <c r="NO189" s="26"/>
      <c r="NP189" s="26"/>
      <c r="NQ189" s="26"/>
      <c r="NR189" s="26"/>
      <c r="NS189" s="26"/>
      <c r="NT189" s="26"/>
      <c r="NU189" s="26"/>
      <c r="NV189" s="26"/>
      <c r="NW189" s="26"/>
      <c r="NX189" s="26"/>
      <c r="NY189" s="26"/>
      <c r="NZ189" s="26"/>
      <c r="OA189" s="26"/>
      <c r="OB189" s="26"/>
      <c r="OC189" s="26"/>
      <c r="OD189" s="26"/>
      <c r="OE189" s="26"/>
      <c r="OF189" s="26"/>
      <c r="OG189" s="26"/>
      <c r="OH189" s="26"/>
      <c r="OI189" s="26"/>
      <c r="OJ189" s="26"/>
      <c r="OK189" s="26"/>
      <c r="OL189" s="26"/>
      <c r="OM189" s="26"/>
      <c r="ON189" s="26"/>
      <c r="OO189" s="26"/>
      <c r="OP189" s="26"/>
      <c r="OQ189" s="26"/>
      <c r="OR189" s="26"/>
      <c r="OS189" s="26"/>
      <c r="OT189" s="26"/>
      <c r="OU189" s="26"/>
      <c r="OV189" s="26"/>
      <c r="OW189" s="26"/>
      <c r="OX189" s="26"/>
      <c r="OY189" s="26"/>
      <c r="OZ189" s="26"/>
      <c r="PA189" s="26"/>
      <c r="PB189" s="26"/>
      <c r="PC189" s="26"/>
      <c r="PD189" s="26"/>
      <c r="PE189" s="26"/>
      <c r="PF189" s="26"/>
      <c r="PG189" s="26"/>
      <c r="PH189" s="26"/>
      <c r="PI189" s="26"/>
      <c r="PJ189" s="26"/>
      <c r="PK189" s="26"/>
      <c r="PL189" s="26"/>
      <c r="PM189" s="26"/>
      <c r="PN189" s="26"/>
      <c r="PO189" s="26"/>
      <c r="PP189" s="26"/>
      <c r="PQ189" s="26"/>
      <c r="PR189" s="26"/>
      <c r="PS189" s="26"/>
      <c r="PT189" s="26"/>
      <c r="PU189" s="26"/>
      <c r="PV189" s="26"/>
      <c r="PW189" s="26"/>
      <c r="PX189" s="26"/>
      <c r="PY189" s="26"/>
      <c r="PZ189" s="26"/>
      <c r="QA189" s="26"/>
      <c r="QB189" s="26"/>
      <c r="QC189" s="26"/>
      <c r="QD189" s="26"/>
      <c r="QE189" s="26"/>
      <c r="QF189" s="26"/>
      <c r="QG189" s="26"/>
      <c r="QH189" s="26"/>
      <c r="QI189" s="26"/>
      <c r="QJ189" s="26"/>
      <c r="QK189" s="26"/>
      <c r="QL189" s="26"/>
      <c r="QM189" s="26"/>
      <c r="QN189" s="26"/>
      <c r="QO189" s="26"/>
      <c r="QP189" s="26"/>
      <c r="QQ189" s="26"/>
      <c r="QR189" s="26"/>
      <c r="QS189" s="26"/>
      <c r="QT189" s="26"/>
      <c r="QU189" s="26"/>
      <c r="QV189" s="26"/>
      <c r="QW189" s="26"/>
      <c r="QX189" s="26"/>
      <c r="QY189" s="26"/>
      <c r="QZ189" s="26"/>
      <c r="RA189" s="26"/>
      <c r="RB189" s="26"/>
      <c r="RC189" s="26"/>
      <c r="RD189" s="26"/>
      <c r="RE189" s="26"/>
      <c r="RF189" s="26"/>
      <c r="RG189" s="26"/>
      <c r="RH189" s="26"/>
      <c r="RI189" s="26"/>
      <c r="RJ189" s="26"/>
      <c r="RK189" s="26"/>
      <c r="RL189" s="26"/>
      <c r="RM189" s="26"/>
      <c r="RN189" s="26"/>
      <c r="RO189" s="26"/>
      <c r="RP189" s="26"/>
      <c r="RQ189" s="26"/>
      <c r="RR189" s="26"/>
      <c r="RS189" s="26"/>
      <c r="RT189" s="26"/>
      <c r="RU189" s="26"/>
      <c r="RV189" s="26"/>
      <c r="RW189" s="26"/>
      <c r="RX189" s="26"/>
      <c r="RY189" s="26"/>
      <c r="RZ189" s="26"/>
      <c r="SA189" s="26"/>
      <c r="SB189" s="26"/>
      <c r="SC189" s="26"/>
      <c r="SD189" s="26"/>
      <c r="SE189" s="26"/>
      <c r="SF189" s="26"/>
      <c r="SG189" s="26"/>
      <c r="SH189" s="26"/>
      <c r="SI189" s="26"/>
      <c r="SJ189" s="26"/>
      <c r="SK189" s="26"/>
      <c r="SL189" s="26"/>
      <c r="SM189" s="26"/>
      <c r="SN189" s="26"/>
      <c r="SO189" s="26"/>
      <c r="SP189" s="26"/>
      <c r="SQ189" s="26"/>
      <c r="SR189" s="26"/>
      <c r="SS189" s="26"/>
      <c r="ST189" s="26"/>
      <c r="SU189" s="26"/>
      <c r="SV189" s="26"/>
      <c r="SW189" s="26"/>
      <c r="SX189" s="26"/>
      <c r="SY189" s="26"/>
      <c r="SZ189" s="26"/>
      <c r="TA189" s="26"/>
      <c r="TB189" s="26"/>
      <c r="TC189" s="26"/>
      <c r="TD189" s="26"/>
      <c r="TE189" s="26"/>
      <c r="TF189" s="26"/>
      <c r="TG189" s="26"/>
      <c r="TH189" s="26"/>
      <c r="TI189" s="26"/>
      <c r="TJ189" s="26"/>
      <c r="TK189" s="26"/>
      <c r="TL189" s="26"/>
      <c r="TM189" s="26"/>
      <c r="TN189" s="26"/>
      <c r="TO189" s="26"/>
      <c r="TP189" s="26"/>
      <c r="TQ189" s="26"/>
      <c r="TR189" s="26"/>
      <c r="TS189" s="26"/>
      <c r="TT189" s="26"/>
      <c r="TU189" s="26"/>
      <c r="TV189" s="26"/>
      <c r="TW189" s="26"/>
      <c r="TX189" s="26"/>
      <c r="TY189" s="26"/>
      <c r="TZ189" s="26"/>
      <c r="UA189" s="26"/>
      <c r="UB189" s="26"/>
      <c r="UC189" s="26"/>
      <c r="UD189" s="26"/>
      <c r="UE189" s="26"/>
      <c r="UF189" s="26"/>
      <c r="UG189" s="26"/>
      <c r="UH189" s="26"/>
      <c r="UI189" s="26"/>
      <c r="UJ189" s="26"/>
      <c r="UK189" s="26"/>
      <c r="UL189" s="26"/>
      <c r="UM189" s="26"/>
      <c r="UN189" s="26"/>
      <c r="UO189" s="26"/>
      <c r="UP189" s="26"/>
      <c r="UQ189" s="26"/>
      <c r="UR189" s="26"/>
      <c r="US189" s="26"/>
      <c r="UT189" s="26"/>
      <c r="UU189" s="26"/>
      <c r="UV189" s="26"/>
      <c r="UW189" s="26"/>
      <c r="UX189" s="26"/>
      <c r="UY189" s="26"/>
      <c r="UZ189" s="26"/>
      <c r="VA189" s="26"/>
      <c r="VB189" s="26"/>
      <c r="VC189" s="26"/>
      <c r="VD189" s="26"/>
      <c r="VE189" s="26"/>
      <c r="VF189" s="26"/>
      <c r="VG189" s="26"/>
      <c r="VH189" s="26"/>
      <c r="VI189" s="26"/>
      <c r="VJ189" s="26"/>
      <c r="VK189" s="26"/>
      <c r="VL189" s="26"/>
      <c r="VM189" s="26"/>
      <c r="VN189" s="26"/>
      <c r="VO189" s="26"/>
      <c r="VP189" s="26"/>
      <c r="VQ189" s="26"/>
      <c r="VR189" s="26"/>
      <c r="VS189" s="26"/>
      <c r="VT189" s="26"/>
      <c r="VU189" s="26"/>
      <c r="VV189" s="26"/>
      <c r="VW189" s="26"/>
      <c r="VX189" s="26"/>
      <c r="VY189" s="26"/>
      <c r="VZ189" s="26"/>
      <c r="WA189" s="26"/>
      <c r="WB189" s="26"/>
      <c r="WC189" s="26"/>
      <c r="WD189" s="26"/>
      <c r="WE189" s="26"/>
      <c r="WF189" s="26"/>
      <c r="WG189" s="26"/>
      <c r="WH189" s="26"/>
      <c r="WI189" s="26"/>
      <c r="WJ189" s="26"/>
      <c r="WK189" s="26"/>
      <c r="WL189" s="26"/>
      <c r="WM189" s="26"/>
      <c r="WN189" s="26"/>
      <c r="WO189" s="26"/>
      <c r="WP189" s="26"/>
      <c r="WQ189" s="26"/>
      <c r="WR189" s="26"/>
      <c r="WS189" s="26"/>
      <c r="WT189" s="26"/>
      <c r="WU189" s="26"/>
      <c r="WV189" s="26"/>
      <c r="WW189" s="26"/>
      <c r="WX189" s="26"/>
      <c r="WY189" s="26"/>
      <c r="WZ189" s="26"/>
      <c r="XA189" s="26"/>
      <c r="XB189" s="26"/>
      <c r="XC189" s="26"/>
      <c r="XD189" s="26"/>
      <c r="XE189" s="26"/>
      <c r="XF189" s="26"/>
      <c r="XG189" s="26"/>
      <c r="XH189" s="26"/>
      <c r="XI189" s="26"/>
      <c r="XJ189" s="26"/>
      <c r="XK189" s="26"/>
      <c r="XL189" s="26"/>
      <c r="XM189" s="26"/>
      <c r="XN189" s="26"/>
      <c r="XO189" s="26"/>
      <c r="XP189" s="26"/>
      <c r="XQ189" s="26"/>
      <c r="XR189" s="26"/>
      <c r="XS189" s="26"/>
      <c r="XT189" s="26"/>
      <c r="XU189" s="26"/>
      <c r="XV189" s="26"/>
      <c r="XW189" s="26"/>
      <c r="XX189" s="26"/>
      <c r="XY189" s="26"/>
      <c r="XZ189" s="26"/>
      <c r="YA189" s="26"/>
      <c r="YB189" s="26"/>
      <c r="YC189" s="26"/>
      <c r="YD189" s="26"/>
      <c r="YE189" s="26"/>
      <c r="YF189" s="26"/>
      <c r="YG189" s="26"/>
      <c r="YH189" s="26"/>
      <c r="YI189" s="26"/>
      <c r="YJ189" s="26"/>
      <c r="YK189" s="26"/>
      <c r="YL189" s="26"/>
      <c r="YM189" s="26"/>
      <c r="YN189" s="26"/>
      <c r="YO189" s="26"/>
      <c r="YP189" s="26"/>
      <c r="YQ189" s="26"/>
      <c r="YR189" s="26"/>
      <c r="YS189" s="26"/>
      <c r="YT189" s="26"/>
      <c r="YU189" s="26"/>
      <c r="YV189" s="26"/>
      <c r="YW189" s="26"/>
      <c r="YX189" s="26"/>
      <c r="YY189" s="26"/>
      <c r="YZ189" s="26"/>
      <c r="ZA189" s="26"/>
      <c r="ZB189" s="26"/>
      <c r="ZC189" s="26"/>
      <c r="ZD189" s="26"/>
      <c r="ZE189" s="26"/>
      <c r="ZF189" s="26"/>
      <c r="ZG189" s="26"/>
      <c r="ZH189" s="26"/>
      <c r="ZI189" s="26"/>
      <c r="ZJ189" s="26"/>
      <c r="ZK189" s="26"/>
      <c r="ZL189" s="26"/>
      <c r="ZM189" s="26"/>
      <c r="ZN189" s="26"/>
      <c r="ZO189" s="26"/>
      <c r="ZP189" s="26"/>
      <c r="ZQ189" s="26"/>
      <c r="ZR189" s="26"/>
      <c r="ZS189" s="26"/>
      <c r="ZT189" s="26"/>
      <c r="ZU189" s="26"/>
      <c r="ZV189" s="26"/>
      <c r="ZW189" s="26"/>
      <c r="ZX189" s="26"/>
      <c r="ZY189" s="26"/>
      <c r="ZZ189" s="26"/>
      <c r="AAA189" s="26"/>
      <c r="AAB189" s="26"/>
      <c r="AAC189" s="26"/>
      <c r="AAD189" s="26"/>
      <c r="AAE189" s="26"/>
      <c r="AAF189" s="26"/>
      <c r="AAG189" s="26"/>
      <c r="AAH189" s="26"/>
      <c r="AAI189" s="26"/>
      <c r="AAJ189" s="26"/>
      <c r="AAK189" s="26"/>
      <c r="AAL189" s="26"/>
      <c r="AAM189" s="26"/>
      <c r="AAN189" s="26"/>
      <c r="AAO189" s="26"/>
      <c r="AAP189" s="26"/>
      <c r="AAQ189" s="26"/>
      <c r="AAR189" s="26"/>
      <c r="AAS189" s="26"/>
      <c r="AAT189" s="26"/>
      <c r="AAU189" s="26"/>
      <c r="AAV189" s="26"/>
      <c r="AAW189" s="26"/>
      <c r="AAX189" s="26"/>
      <c r="AAY189" s="26"/>
      <c r="AAZ189" s="26"/>
      <c r="ABA189" s="26"/>
      <c r="ABB189" s="26"/>
      <c r="ABC189" s="26"/>
      <c r="ABD189" s="26"/>
      <c r="ABE189" s="26"/>
      <c r="ABF189" s="26"/>
      <c r="ABG189" s="26"/>
      <c r="ABH189" s="26"/>
      <c r="ABI189" s="26"/>
      <c r="ABJ189" s="26"/>
      <c r="ABK189" s="26"/>
      <c r="ABL189" s="26"/>
      <c r="ABM189" s="26"/>
      <c r="ABN189" s="26"/>
      <c r="ABO189" s="26"/>
      <c r="ABP189" s="26"/>
      <c r="ABQ189" s="26"/>
      <c r="ABR189" s="26"/>
      <c r="ABS189" s="26"/>
      <c r="ABT189" s="26"/>
      <c r="ABU189" s="26"/>
      <c r="ABV189" s="26"/>
      <c r="ABW189" s="26"/>
      <c r="ABX189" s="26"/>
      <c r="ABY189" s="26"/>
      <c r="ABZ189" s="26"/>
      <c r="ACA189" s="26"/>
      <c r="ACB189" s="26"/>
      <c r="ACC189" s="26"/>
      <c r="ACD189" s="26"/>
      <c r="ACE189" s="26"/>
      <c r="ACF189" s="26"/>
      <c r="ACG189" s="26"/>
      <c r="ACH189" s="26"/>
      <c r="ACI189" s="26"/>
      <c r="ACJ189" s="26"/>
      <c r="ACK189" s="26"/>
      <c r="ACL189" s="26"/>
      <c r="ACM189" s="26"/>
      <c r="ACN189" s="26"/>
      <c r="ACO189" s="26"/>
      <c r="ACP189" s="26"/>
      <c r="ACQ189" s="26"/>
      <c r="ACR189" s="26"/>
      <c r="ACS189" s="26"/>
      <c r="ACT189" s="26"/>
      <c r="ACU189" s="26"/>
      <c r="ACV189" s="26"/>
      <c r="ACW189" s="26"/>
      <c r="ACX189" s="26"/>
      <c r="ACY189" s="26"/>
      <c r="ACZ189" s="26"/>
      <c r="ADA189" s="26"/>
      <c r="ADB189" s="26"/>
      <c r="ADC189" s="26"/>
      <c r="ADD189" s="26"/>
      <c r="ADE189" s="26"/>
      <c r="ADF189" s="26"/>
      <c r="ADG189" s="26"/>
      <c r="ADH189" s="26"/>
      <c r="ADI189" s="26"/>
      <c r="ADJ189" s="26"/>
      <c r="ADK189" s="26"/>
      <c r="ADL189" s="26"/>
      <c r="ADM189" s="26"/>
      <c r="ADN189" s="26"/>
      <c r="ADO189" s="26"/>
      <c r="ADP189" s="26"/>
      <c r="ADQ189" s="26"/>
      <c r="ADR189" s="26"/>
      <c r="ADS189" s="26"/>
      <c r="ADT189" s="26"/>
      <c r="ADU189" s="26"/>
      <c r="ADV189" s="26"/>
      <c r="ADW189" s="26"/>
      <c r="ADX189" s="26"/>
      <c r="ADY189" s="26"/>
      <c r="ADZ189" s="26"/>
      <c r="AEA189" s="26"/>
      <c r="AEB189" s="26"/>
      <c r="AEC189" s="26"/>
      <c r="AED189" s="26"/>
      <c r="AEE189" s="26"/>
      <c r="AEF189" s="26"/>
      <c r="AEG189" s="26"/>
      <c r="AEH189" s="26"/>
      <c r="AEI189" s="26"/>
      <c r="AEJ189" s="26"/>
      <c r="AEK189" s="26"/>
      <c r="AEL189" s="26"/>
      <c r="AEM189" s="26"/>
      <c r="AEN189" s="26"/>
      <c r="AEO189" s="26"/>
      <c r="AEP189" s="26"/>
      <c r="AEQ189" s="26"/>
      <c r="AER189" s="26"/>
      <c r="AES189" s="26"/>
      <c r="AET189" s="26"/>
      <c r="AEU189" s="26"/>
      <c r="AEV189" s="26"/>
      <c r="AEW189" s="26"/>
      <c r="AEX189" s="26"/>
      <c r="AEY189" s="26"/>
      <c r="AEZ189" s="26"/>
      <c r="AFA189" s="26"/>
      <c r="AFB189" s="26"/>
      <c r="AFC189" s="26"/>
      <c r="AFD189" s="26"/>
      <c r="AFE189" s="26"/>
      <c r="AFF189" s="26"/>
      <c r="AFG189" s="26"/>
      <c r="AFH189" s="26"/>
      <c r="AFI189" s="26"/>
      <c r="AFJ189" s="26"/>
      <c r="AFK189" s="26"/>
      <c r="AFL189" s="26"/>
      <c r="AFM189" s="26"/>
      <c r="AFN189" s="26"/>
      <c r="AFO189" s="26"/>
      <c r="AFP189" s="26"/>
      <c r="AFQ189" s="26"/>
      <c r="AFR189" s="26"/>
      <c r="AFS189" s="26"/>
      <c r="AFT189" s="26"/>
      <c r="AFU189" s="26"/>
      <c r="AFV189" s="26"/>
      <c r="AFW189" s="26"/>
      <c r="AFX189" s="26"/>
      <c r="AFY189" s="26"/>
      <c r="AFZ189" s="26"/>
      <c r="AGA189" s="26"/>
      <c r="AGB189" s="26"/>
      <c r="AGC189" s="26"/>
      <c r="AGD189" s="26"/>
      <c r="AGE189" s="26"/>
      <c r="AGF189" s="26"/>
      <c r="AGG189" s="26"/>
      <c r="AGH189" s="26"/>
      <c r="AGI189" s="26"/>
      <c r="AGJ189" s="26"/>
      <c r="AGK189" s="26"/>
      <c r="AGL189" s="26"/>
      <c r="AGM189" s="26"/>
      <c r="AGN189" s="26"/>
      <c r="AGO189" s="26"/>
      <c r="AGP189" s="26"/>
      <c r="AGQ189" s="26"/>
      <c r="AGR189" s="26"/>
      <c r="AGS189" s="26"/>
      <c r="AGT189" s="26"/>
      <c r="AGU189" s="26"/>
      <c r="AGV189" s="26"/>
      <c r="AGW189" s="26"/>
      <c r="AGX189" s="26"/>
      <c r="AGY189" s="26"/>
      <c r="AGZ189" s="26"/>
      <c r="AHA189" s="26"/>
      <c r="AHB189" s="26"/>
      <c r="AHC189" s="26"/>
      <c r="AHD189" s="26"/>
      <c r="AHE189" s="26"/>
      <c r="AHF189" s="26"/>
      <c r="AHG189" s="26"/>
      <c r="AHH189" s="26"/>
      <c r="AHI189" s="26"/>
      <c r="AHJ189" s="26"/>
      <c r="AHK189" s="26"/>
      <c r="AHL189" s="26"/>
      <c r="AHM189" s="26"/>
      <c r="AHN189" s="26"/>
      <c r="AHO189" s="26"/>
      <c r="AHP189" s="26"/>
      <c r="AHQ189" s="26"/>
      <c r="AHR189" s="26"/>
      <c r="AHS189" s="26"/>
      <c r="AHT189" s="26"/>
      <c r="AHU189" s="26"/>
      <c r="AHV189" s="26"/>
      <c r="AHW189" s="26"/>
      <c r="AHX189" s="26"/>
      <c r="AHY189" s="26"/>
      <c r="AHZ189" s="26"/>
      <c r="AIA189" s="26"/>
      <c r="AIB189" s="26"/>
      <c r="AIC189" s="26"/>
      <c r="AID189" s="26"/>
      <c r="AIE189" s="26"/>
      <c r="AIF189" s="26"/>
      <c r="AIG189" s="26"/>
      <c r="AIH189" s="26"/>
      <c r="AII189" s="26"/>
      <c r="AIJ189" s="26"/>
      <c r="AIK189" s="26"/>
      <c r="AIL189" s="26"/>
      <c r="AIM189" s="26"/>
      <c r="AIN189" s="26"/>
      <c r="AIO189" s="26"/>
      <c r="AIP189" s="26"/>
      <c r="AIQ189" s="26"/>
      <c r="AIR189" s="26"/>
      <c r="AIS189" s="26"/>
      <c r="AIT189" s="26"/>
      <c r="AIU189" s="26"/>
      <c r="AIV189" s="26"/>
      <c r="AIW189" s="26"/>
      <c r="AIX189" s="26"/>
      <c r="AIY189" s="26"/>
      <c r="AIZ189" s="26"/>
      <c r="AJA189" s="26"/>
      <c r="AJB189" s="26"/>
      <c r="AJC189" s="26"/>
      <c r="AJD189" s="26"/>
      <c r="AJE189" s="26"/>
      <c r="AJF189" s="26"/>
      <c r="AJG189" s="26"/>
      <c r="AJH189" s="26"/>
      <c r="AJI189" s="26"/>
      <c r="AJJ189" s="26"/>
      <c r="AJK189" s="26"/>
      <c r="AJL189" s="26"/>
      <c r="AJM189" s="26"/>
      <c r="AJN189" s="26"/>
      <c r="AJO189" s="26"/>
      <c r="AJP189" s="26"/>
      <c r="AJQ189" s="26"/>
      <c r="AJR189" s="26"/>
      <c r="AJS189" s="26"/>
      <c r="AJT189" s="26"/>
      <c r="AJU189" s="26"/>
      <c r="AJV189" s="26"/>
      <c r="AJW189" s="26"/>
      <c r="AJX189" s="26"/>
      <c r="AJY189" s="26"/>
      <c r="AJZ189" s="26"/>
      <c r="AKA189" s="26"/>
      <c r="AKB189" s="26"/>
      <c r="AKC189" s="26"/>
      <c r="AKD189" s="26"/>
      <c r="AKE189" s="26"/>
      <c r="AKF189" s="26"/>
      <c r="AKG189" s="26"/>
      <c r="AKH189" s="26"/>
      <c r="AKI189" s="26"/>
      <c r="AKJ189" s="26"/>
      <c r="AKK189" s="26"/>
      <c r="AKL189" s="26"/>
      <c r="AKM189" s="26"/>
      <c r="AKN189" s="26"/>
      <c r="AKO189" s="26"/>
      <c r="AKP189" s="26"/>
      <c r="AKQ189" s="26"/>
      <c r="AKR189" s="26"/>
      <c r="AKS189" s="26"/>
      <c r="AKT189" s="26"/>
      <c r="AKU189" s="26"/>
      <c r="AKV189" s="26"/>
      <c r="AKW189" s="26"/>
      <c r="AKX189" s="26"/>
      <c r="AKY189" s="26"/>
      <c r="AKZ189" s="26"/>
      <c r="ALA189" s="26"/>
      <c r="ALB189" s="26"/>
      <c r="ALC189" s="26"/>
      <c r="ALD189" s="26"/>
      <c r="ALE189" s="26"/>
      <c r="ALF189" s="26"/>
      <c r="ALG189" s="26"/>
      <c r="ALH189" s="26"/>
      <c r="ALI189" s="26"/>
      <c r="ALJ189" s="26"/>
      <c r="ALK189" s="26"/>
      <c r="ALL189" s="26"/>
      <c r="ALM189" s="26"/>
      <c r="ALN189" s="26"/>
      <c r="ALO189" s="26"/>
      <c r="ALP189" s="26"/>
      <c r="ALQ189" s="26"/>
      <c r="ALR189" s="26"/>
      <c r="ALS189" s="26"/>
      <c r="ALT189" s="26"/>
      <c r="ALU189" s="26"/>
      <c r="ALV189" s="26"/>
      <c r="ALW189" s="26"/>
      <c r="ALX189" s="26"/>
      <c r="ALY189" s="26"/>
      <c r="ALZ189" s="26"/>
      <c r="AMA189" s="26"/>
      <c r="AMB189" s="26"/>
      <c r="AMC189" s="26"/>
      <c r="AMD189" s="26"/>
      <c r="AME189" s="26"/>
      <c r="AMF189" s="26"/>
      <c r="AMG189" s="26"/>
      <c r="AMH189" s="26"/>
      <c r="AMI189" s="26"/>
      <c r="AMJ189" s="26"/>
    </row>
    <row r="190" spans="1:1024" s="26" customFormat="1" ht="12.75">
      <c r="A190" s="2"/>
      <c r="B190" s="2"/>
      <c r="C190" s="2"/>
      <c r="D190" s="67"/>
      <c r="E190" s="1"/>
      <c r="F190" s="4"/>
      <c r="G190" s="57"/>
      <c r="H190" s="3"/>
      <c r="I190" s="3"/>
    </row>
    <row r="191" spans="1:1024" s="26" customFormat="1" ht="12.75">
      <c r="A191" s="2"/>
      <c r="B191" s="2"/>
      <c r="C191" s="2"/>
      <c r="D191" s="67"/>
      <c r="E191" s="1"/>
      <c r="F191" s="4"/>
      <c r="G191" s="57"/>
      <c r="H191" s="3"/>
      <c r="I191" s="3"/>
    </row>
    <row r="192" spans="1:1024" s="26" customFormat="1" ht="12.75">
      <c r="A192" s="2"/>
      <c r="B192" s="2"/>
      <c r="C192" s="2"/>
      <c r="D192" s="67"/>
      <c r="E192" s="1"/>
      <c r="F192" s="4"/>
      <c r="G192" s="57"/>
      <c r="H192" s="3"/>
      <c r="I192" s="3"/>
    </row>
    <row r="195" spans="1:9" s="26" customFormat="1" ht="12.75">
      <c r="A195" s="2"/>
      <c r="B195" s="2"/>
      <c r="C195" s="2"/>
      <c r="D195" s="67"/>
      <c r="E195" s="1"/>
      <c r="F195" s="4"/>
      <c r="G195" s="57"/>
      <c r="H195" s="3"/>
      <c r="I195" s="3"/>
    </row>
  </sheetData>
  <mergeCells count="108">
    <mergeCell ref="B116:C116"/>
    <mergeCell ref="D116:H116"/>
    <mergeCell ref="B120:C120"/>
    <mergeCell ref="B43:C43"/>
    <mergeCell ref="D43:H43"/>
    <mergeCell ref="B49:C49"/>
    <mergeCell ref="B44:C44"/>
    <mergeCell ref="D44:I44"/>
    <mergeCell ref="B39:C39"/>
    <mergeCell ref="D39:H39"/>
    <mergeCell ref="A42:G42"/>
    <mergeCell ref="H42:I42"/>
    <mergeCell ref="D27:I27"/>
    <mergeCell ref="B31:C31"/>
    <mergeCell ref="D31:I31"/>
    <mergeCell ref="B34:C34"/>
    <mergeCell ref="D34:I34"/>
    <mergeCell ref="H163:I163"/>
    <mergeCell ref="H67:I67"/>
    <mergeCell ref="H52:I52"/>
    <mergeCell ref="H48:I48"/>
    <mergeCell ref="D50:I50"/>
    <mergeCell ref="B76:C76"/>
    <mergeCell ref="D76:H76"/>
    <mergeCell ref="B79:C79"/>
    <mergeCell ref="D79:H79"/>
    <mergeCell ref="D54:I54"/>
    <mergeCell ref="H141:I141"/>
    <mergeCell ref="H107:I107"/>
    <mergeCell ref="H93:I93"/>
    <mergeCell ref="H85:I85"/>
    <mergeCell ref="B111:C111"/>
    <mergeCell ref="A38:G38"/>
    <mergeCell ref="H38:I38"/>
    <mergeCell ref="A48:G48"/>
    <mergeCell ref="D111:H111"/>
    <mergeCell ref="A1:I5"/>
    <mergeCell ref="A7:I7"/>
    <mergeCell ref="A8:D8"/>
    <mergeCell ref="A10:G10"/>
    <mergeCell ref="A107:G107"/>
    <mergeCell ref="A17:G17"/>
    <mergeCell ref="B14:C14"/>
    <mergeCell ref="B18:C18"/>
    <mergeCell ref="B86:C86"/>
    <mergeCell ref="D86:H86"/>
    <mergeCell ref="B94:C94"/>
    <mergeCell ref="D94:H94"/>
    <mergeCell ref="H78:I78"/>
    <mergeCell ref="H75:I75"/>
    <mergeCell ref="D49:H49"/>
    <mergeCell ref="B53:C53"/>
    <mergeCell ref="D53:H53"/>
    <mergeCell ref="B50:C50"/>
    <mergeCell ref="A9:G9"/>
    <mergeCell ref="A13:I13"/>
    <mergeCell ref="B87:C87"/>
    <mergeCell ref="B68:C68"/>
    <mergeCell ref="D68:H68"/>
    <mergeCell ref="B22:C22"/>
    <mergeCell ref="A172:I180"/>
    <mergeCell ref="A110:G110"/>
    <mergeCell ref="A78:G78"/>
    <mergeCell ref="A85:G85"/>
    <mergeCell ref="A93:G93"/>
    <mergeCell ref="H110:I110"/>
    <mergeCell ref="D87:I87"/>
    <mergeCell ref="B91:C91"/>
    <mergeCell ref="D91:I91"/>
    <mergeCell ref="A168:G168"/>
    <mergeCell ref="H168:I168"/>
    <mergeCell ref="H166:I166"/>
    <mergeCell ref="H146:I146"/>
    <mergeCell ref="B142:C142"/>
    <mergeCell ref="D142:H142"/>
    <mergeCell ref="B147:C147"/>
    <mergeCell ref="D147:H147"/>
    <mergeCell ref="B164:C164"/>
    <mergeCell ref="D164:H164"/>
    <mergeCell ref="A169:I169"/>
    <mergeCell ref="A170:I170"/>
    <mergeCell ref="D120:H120"/>
    <mergeCell ref="H119:I119"/>
    <mergeCell ref="D108:H108"/>
    <mergeCell ref="H17:I17"/>
    <mergeCell ref="B54:C54"/>
    <mergeCell ref="A52:G52"/>
    <mergeCell ref="A67:G67"/>
    <mergeCell ref="A75:G75"/>
    <mergeCell ref="A167:I167"/>
    <mergeCell ref="A166:G166"/>
    <mergeCell ref="A115:G115"/>
    <mergeCell ref="B57:C57"/>
    <mergeCell ref="D57:I57"/>
    <mergeCell ref="B59:C59"/>
    <mergeCell ref="D59:I59"/>
    <mergeCell ref="A163:G163"/>
    <mergeCell ref="A119:G119"/>
    <mergeCell ref="A141:G141"/>
    <mergeCell ref="A146:G146"/>
    <mergeCell ref="B108:C108"/>
    <mergeCell ref="H115:I115"/>
    <mergeCell ref="B63:C63"/>
    <mergeCell ref="D63:I63"/>
    <mergeCell ref="B19:C19"/>
    <mergeCell ref="D19:I19"/>
    <mergeCell ref="D22:I22"/>
    <mergeCell ref="B27:C27"/>
  </mergeCells>
  <phoneticPr fontId="15" type="noConversion"/>
  <conditionalFormatting sqref="F12:H12">
    <cfRule type="cellIs" dxfId="27" priority="64" operator="equal">
      <formula>0</formula>
    </cfRule>
  </conditionalFormatting>
  <conditionalFormatting sqref="G21 G33 G15:G16 G23:G26 G29:G30">
    <cfRule type="containsText" dxfId="26" priority="65" operator="containsText" text="#N/D"/>
    <cfRule type="containsErrors" dxfId="25" priority="66">
      <formula>0</formula>
    </cfRule>
  </conditionalFormatting>
  <conditionalFormatting sqref="G21 G33 G15:G16 G23:G26 G29:G30">
    <cfRule type="containsText" dxfId="24" priority="67" operator="containsText" text="#N/D"/>
  </conditionalFormatting>
  <conditionalFormatting sqref="G29">
    <cfRule type="containsText" dxfId="23" priority="45" operator="containsText" text="#N/D"/>
    <cfRule type="containsErrors" dxfId="22" priority="46">
      <formula>0</formula>
    </cfRule>
  </conditionalFormatting>
  <conditionalFormatting sqref="G29">
    <cfRule type="containsText" dxfId="21" priority="47" operator="containsText" text="#N/D"/>
  </conditionalFormatting>
  <conditionalFormatting sqref="G20">
    <cfRule type="containsText" dxfId="20" priority="42" operator="containsText" text="#N/D"/>
    <cfRule type="containsErrors" dxfId="19" priority="43">
      <formula>0</formula>
    </cfRule>
  </conditionalFormatting>
  <conditionalFormatting sqref="G20">
    <cfRule type="containsText" dxfId="18" priority="44" operator="containsText" text="#N/D"/>
  </conditionalFormatting>
  <conditionalFormatting sqref="G35">
    <cfRule type="containsText" dxfId="17" priority="36" operator="containsText" text="#N/D"/>
    <cfRule type="containsErrors" dxfId="16" priority="37">
      <formula>0</formula>
    </cfRule>
  </conditionalFormatting>
  <conditionalFormatting sqref="G35">
    <cfRule type="containsText" dxfId="15" priority="38" operator="containsText" text="#N/D"/>
  </conditionalFormatting>
  <conditionalFormatting sqref="G36">
    <cfRule type="containsText" dxfId="14" priority="33" operator="containsText" text="#N/D"/>
    <cfRule type="containsErrors" dxfId="13" priority="34">
      <formula>0</formula>
    </cfRule>
  </conditionalFormatting>
  <conditionalFormatting sqref="G36">
    <cfRule type="containsText" dxfId="12" priority="35" operator="containsText" text="#N/D"/>
  </conditionalFormatting>
  <conditionalFormatting sqref="G21">
    <cfRule type="containsText" dxfId="11" priority="24" operator="containsText" text="#N/D"/>
    <cfRule type="containsErrors" dxfId="10" priority="25">
      <formula>0</formula>
    </cfRule>
  </conditionalFormatting>
  <conditionalFormatting sqref="G21">
    <cfRule type="containsText" dxfId="9" priority="26" operator="containsText" text="#N/D"/>
  </conditionalFormatting>
  <conditionalFormatting sqref="G28">
    <cfRule type="containsText" dxfId="8" priority="13" operator="containsText" text="#N/D"/>
    <cfRule type="containsErrors" dxfId="7" priority="14">
      <formula>0</formula>
    </cfRule>
  </conditionalFormatting>
  <conditionalFormatting sqref="G28">
    <cfRule type="containsText" dxfId="6" priority="15" operator="containsText" text="#N/D"/>
  </conditionalFormatting>
  <conditionalFormatting sqref="G32">
    <cfRule type="containsText" dxfId="5" priority="10" operator="containsText" text="#N/D"/>
    <cfRule type="containsErrors" dxfId="4" priority="11">
      <formula>0</formula>
    </cfRule>
  </conditionalFormatting>
  <conditionalFormatting sqref="G32">
    <cfRule type="containsText" dxfId="3" priority="12" operator="containsText" text="#N/D"/>
  </conditionalFormatting>
  <conditionalFormatting sqref="G37">
    <cfRule type="containsText" dxfId="2" priority="4" operator="containsText" text="#N/D"/>
    <cfRule type="containsErrors" dxfId="1" priority="5">
      <formula>0</formula>
    </cfRule>
  </conditionalFormatting>
  <conditionalFormatting sqref="G37">
    <cfRule type="containsText" dxfId="0" priority="6" operator="containsText" text="#N/D"/>
  </conditionalFormatting>
  <printOptions horizontalCentered="1"/>
  <pageMargins left="0.25" right="0.25" top="0.5" bottom="0.45" header="0.22" footer="0.17"/>
  <pageSetup paperSize="9" scale="95" firstPageNumber="0" fitToHeight="0" orientation="landscape" r:id="rId1"/>
  <headerFooter>
    <oddFooter>&amp;CPágina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192A-E1E9-4472-895E-C5964275A786}">
  <sheetPr>
    <pageSetUpPr fitToPage="1"/>
  </sheetPr>
  <dimension ref="A1:O1037"/>
  <sheetViews>
    <sheetView zoomScale="90" zoomScaleNormal="90" workbookViewId="0">
      <selection sqref="A1:H1037"/>
    </sheetView>
  </sheetViews>
  <sheetFormatPr defaultRowHeight="14.25"/>
  <cols>
    <col min="1" max="1" width="5.625" customWidth="1"/>
    <col min="2" max="2" width="21.375" bestFit="1" customWidth="1"/>
    <col min="3" max="3" width="9" bestFit="1" customWidth="1"/>
    <col min="4" max="4" width="78.625" customWidth="1"/>
    <col min="5" max="5" width="7.125" bestFit="1" customWidth="1"/>
    <col min="6" max="6" width="8.375" bestFit="1" customWidth="1"/>
    <col min="7" max="7" width="4.625" bestFit="1" customWidth="1"/>
    <col min="8" max="8" width="9.875" bestFit="1" customWidth="1"/>
    <col min="9" max="9" width="15" customWidth="1"/>
    <col min="10" max="10" width="9" customWidth="1"/>
  </cols>
  <sheetData>
    <row r="1" spans="1:8">
      <c r="A1" s="291"/>
      <c r="B1" s="292"/>
      <c r="C1" s="292"/>
      <c r="D1" s="292"/>
      <c r="E1" s="292"/>
      <c r="F1" s="292"/>
      <c r="G1" s="292"/>
      <c r="H1" s="293"/>
    </row>
    <row r="2" spans="1:8">
      <c r="A2" s="294"/>
      <c r="B2" s="295"/>
      <c r="C2" s="295"/>
      <c r="D2" s="295"/>
      <c r="E2" s="295"/>
      <c r="F2" s="295"/>
      <c r="G2" s="295"/>
      <c r="H2" s="296"/>
    </row>
    <row r="3" spans="1:8">
      <c r="A3" s="294"/>
      <c r="B3" s="295"/>
      <c r="C3" s="295"/>
      <c r="D3" s="295"/>
      <c r="E3" s="295"/>
      <c r="F3" s="295"/>
      <c r="G3" s="295"/>
      <c r="H3" s="296"/>
    </row>
    <row r="4" spans="1:8">
      <c r="A4" s="294"/>
      <c r="B4" s="295"/>
      <c r="C4" s="295"/>
      <c r="D4" s="295"/>
      <c r="E4" s="295"/>
      <c r="F4" s="295"/>
      <c r="G4" s="295"/>
      <c r="H4" s="296"/>
    </row>
    <row r="5" spans="1:8">
      <c r="A5" s="297"/>
      <c r="B5" s="298"/>
      <c r="C5" s="298"/>
      <c r="D5" s="298"/>
      <c r="E5" s="298"/>
      <c r="F5" s="298"/>
      <c r="G5" s="298"/>
      <c r="H5" s="299"/>
    </row>
    <row r="6" spans="1:8">
      <c r="A6" s="351"/>
      <c r="B6" s="351"/>
      <c r="C6" s="351"/>
      <c r="D6" s="351"/>
      <c r="E6" s="351"/>
      <c r="F6" s="351"/>
      <c r="G6" s="351"/>
      <c r="H6" s="351"/>
    </row>
    <row r="7" spans="1:8" ht="18">
      <c r="A7" s="300" t="s">
        <v>92</v>
      </c>
      <c r="B7" s="301"/>
      <c r="C7" s="301"/>
      <c r="D7" s="301"/>
      <c r="E7" s="301"/>
      <c r="F7" s="301"/>
      <c r="G7" s="301"/>
      <c r="H7" s="302"/>
    </row>
    <row r="8" spans="1:8" ht="15" customHeight="1">
      <c r="A8" s="303" t="str">
        <f>'PLANILHA ORÇAMENTARIA'!A8:D8</f>
        <v>OBRA: REFORMA E.M. PROF. IONYR BASTOS DIAS</v>
      </c>
      <c r="B8" s="304"/>
      <c r="C8" s="304"/>
      <c r="D8" s="305"/>
      <c r="E8" s="46" t="s">
        <v>1</v>
      </c>
      <c r="F8" s="47">
        <v>1</v>
      </c>
      <c r="G8" s="48"/>
      <c r="H8" s="88" t="s">
        <v>89</v>
      </c>
    </row>
    <row r="9" spans="1:8" ht="15">
      <c r="A9" s="309" t="str">
        <f>'PLANILHA ORÇAMENTARIA'!A9:G9</f>
        <v>ENDEREÇO: AV. SANTA CATARINA, 75 - VALE VERDE, MURIAÉ - MG</v>
      </c>
      <c r="B9" s="310"/>
      <c r="C9" s="310"/>
      <c r="D9" s="310"/>
      <c r="E9" s="310"/>
      <c r="F9" s="310"/>
      <c r="G9" s="58"/>
      <c r="H9" s="90">
        <f>'PLANILHA ORÇAMENTARIA'!I9</f>
        <v>44159</v>
      </c>
    </row>
    <row r="10" spans="1:8" ht="15">
      <c r="A10" s="306" t="str">
        <f>'PLANILHA ORÇAMENTARIA'!A10:G10</f>
        <v>BASE DE PREÇO: ABRIL-2020/SETOP, JULHO-2020/SINAPI E OUTRAS FONTES DE PESQUISA DE PREÇO.</v>
      </c>
      <c r="B10" s="307"/>
      <c r="C10" s="307"/>
      <c r="D10" s="307"/>
      <c r="E10" s="307"/>
      <c r="F10" s="307"/>
      <c r="G10" s="139" t="s">
        <v>0</v>
      </c>
      <c r="H10" s="89">
        <f>'PLANILHA ORÇAMENTARIA'!I10</f>
        <v>0.2223</v>
      </c>
    </row>
    <row r="11" spans="1:8" ht="15">
      <c r="A11" s="352"/>
      <c r="B11" s="352"/>
      <c r="C11" s="352"/>
      <c r="D11" s="352"/>
      <c r="E11" s="352"/>
      <c r="F11" s="352"/>
      <c r="G11" s="352"/>
      <c r="H11" s="352"/>
    </row>
    <row r="12" spans="1:8">
      <c r="A12" s="40" t="s">
        <v>2</v>
      </c>
      <c r="B12" s="348" t="s">
        <v>5</v>
      </c>
      <c r="C12" s="349"/>
      <c r="D12" s="349"/>
      <c r="E12" s="349"/>
      <c r="F12" s="349"/>
      <c r="G12" s="349"/>
      <c r="H12" s="350"/>
    </row>
    <row r="13" spans="1:8">
      <c r="A13" s="311"/>
      <c r="B13" s="264"/>
      <c r="C13" s="264"/>
      <c r="D13" s="264"/>
      <c r="E13" s="264"/>
      <c r="F13" s="264"/>
      <c r="G13" s="264"/>
      <c r="H13" s="264"/>
    </row>
    <row r="14" spans="1:8">
      <c r="A14" s="73">
        <f>'PLANILHA ORÇAMENTARIA'!A14</f>
        <v>1</v>
      </c>
      <c r="B14" s="112"/>
      <c r="C14" s="112"/>
      <c r="D14" s="112" t="s">
        <v>9</v>
      </c>
      <c r="E14" s="112"/>
      <c r="F14" s="112"/>
      <c r="G14" s="112"/>
      <c r="H14" s="113"/>
    </row>
    <row r="15" spans="1:8" ht="44.25" customHeight="1">
      <c r="A15" s="353" t="str">
        <f>'PLANILHA ORÇAMENTARIA'!A15</f>
        <v>1.1</v>
      </c>
      <c r="B15" s="92" t="str">
        <f>'PLANILHA ORÇAMENTARIA'!B15</f>
        <v>IIO-PLA-005</v>
      </c>
      <c r="C15" s="93" t="str">
        <f>'PLANILHA ORÇAMENTARIA'!C15</f>
        <v>SETOP</v>
      </c>
      <c r="D15" s="318" t="str">
        <f>'PLANILHA ORÇAMENTARIA'!D15</f>
        <v>Fornecimento e colocação de placa de obra em chapa galvanizada (3,00 x 1,5 0 m) - em chapa galvanizada 0,26 afixadas com rebites 540 e parafusos 3/8, em estrutura metálica viga u 2" enrijecida com metalon 20 x 20, suporte em eucalipto autoclavado pintadas.</v>
      </c>
      <c r="E15" s="318"/>
      <c r="F15" s="318"/>
      <c r="G15" s="91" t="str">
        <f>'PLANILHA ORÇAMENTARIA'!E15</f>
        <v>un.</v>
      </c>
      <c r="H15" s="94">
        <f>H17</f>
        <v>1</v>
      </c>
    </row>
    <row r="16" spans="1:8">
      <c r="A16" s="353"/>
      <c r="B16" s="100" t="s">
        <v>334</v>
      </c>
      <c r="C16" s="354" t="s">
        <v>335</v>
      </c>
      <c r="D16" s="354"/>
      <c r="E16" s="354"/>
      <c r="F16" s="354"/>
      <c r="G16" s="354"/>
      <c r="H16" s="95">
        <v>1</v>
      </c>
    </row>
    <row r="17" spans="1:8">
      <c r="A17" s="353"/>
      <c r="B17" s="87"/>
      <c r="C17" s="319" t="s">
        <v>177</v>
      </c>
      <c r="D17" s="319"/>
      <c r="E17" s="319"/>
      <c r="F17" s="319"/>
      <c r="G17" s="319"/>
      <c r="H17" s="96">
        <f>SUM(H16:H16)</f>
        <v>1</v>
      </c>
    </row>
    <row r="18" spans="1:8">
      <c r="A18" s="329" t="str">
        <f>'PLANILHA ORÇAMENTARIA'!A16</f>
        <v>1.2</v>
      </c>
      <c r="B18" s="92">
        <f>'PLANILHA ORÇAMENTARIA'!B16</f>
        <v>98458</v>
      </c>
      <c r="C18" s="93" t="str">
        <f>'PLANILHA ORÇAMENTARIA'!C16</f>
        <v>SINAPI</v>
      </c>
      <c r="D18" s="318" t="str">
        <f>'PLANILHA ORÇAMENTARIA'!D16</f>
        <v>Tapume de chapa de madeira compensada com 6mm.</v>
      </c>
      <c r="E18" s="318"/>
      <c r="F18" s="318"/>
      <c r="G18" s="91" t="str">
        <f>'PLANILHA ORÇAMENTARIA'!E16</f>
        <v>m²</v>
      </c>
      <c r="H18" s="94">
        <f>H20</f>
        <v>20</v>
      </c>
    </row>
    <row r="19" spans="1:8">
      <c r="A19" s="330"/>
      <c r="B19" s="100" t="s">
        <v>334</v>
      </c>
      <c r="C19" s="354" t="s">
        <v>337</v>
      </c>
      <c r="D19" s="354"/>
      <c r="E19" s="354"/>
      <c r="F19" s="354"/>
      <c r="G19" s="354"/>
      <c r="H19" s="95">
        <f>10*2</f>
        <v>20</v>
      </c>
    </row>
    <row r="20" spans="1:8">
      <c r="A20" s="331"/>
      <c r="B20" s="87"/>
      <c r="C20" s="319" t="s">
        <v>177</v>
      </c>
      <c r="D20" s="319"/>
      <c r="E20" s="319"/>
      <c r="F20" s="319"/>
      <c r="G20" s="319"/>
      <c r="H20" s="96">
        <f>SUM(H19:H19)</f>
        <v>20</v>
      </c>
    </row>
    <row r="21" spans="1:8">
      <c r="A21" s="326"/>
      <c r="B21" s="327"/>
      <c r="C21" s="327"/>
      <c r="D21" s="327"/>
      <c r="E21" s="327"/>
      <c r="F21" s="327"/>
      <c r="G21" s="327"/>
      <c r="H21" s="328"/>
    </row>
    <row r="22" spans="1:8">
      <c r="A22" s="73">
        <f>'PLANILHA ORÇAMENTARIA'!A18</f>
        <v>2</v>
      </c>
      <c r="B22" s="112"/>
      <c r="C22" s="112"/>
      <c r="D22" s="112" t="s">
        <v>93</v>
      </c>
      <c r="E22" s="112"/>
      <c r="F22" s="112"/>
      <c r="G22" s="112"/>
      <c r="H22" s="113"/>
    </row>
    <row r="23" spans="1:8">
      <c r="A23" s="76" t="str">
        <f>'PLANILHA ORÇAMENTARIA'!A19</f>
        <v>2.1</v>
      </c>
      <c r="B23" s="259"/>
      <c r="C23" s="260"/>
      <c r="D23" s="268" t="s">
        <v>164</v>
      </c>
      <c r="E23" s="269"/>
      <c r="F23" s="269"/>
      <c r="G23" s="269"/>
      <c r="H23" s="270"/>
    </row>
    <row r="24" spans="1:8">
      <c r="A24" s="338" t="str">
        <f>'PLANILHA ORÇAMENTARIA'!A20</f>
        <v>2.1.1</v>
      </c>
      <c r="B24" s="92" t="str">
        <f>'PLANILHA ORÇAMENTARIA'!B20</f>
        <v>DEM-POR-005</v>
      </c>
      <c r="C24" s="93" t="str">
        <f>'PLANILHA ORÇAMENTARIA'!C20</f>
        <v>SETOP</v>
      </c>
      <c r="D24" s="318" t="str">
        <f>'PLANILHA ORÇAMENTARIA'!D20</f>
        <v>Remoção de porta ou janela inclusive marco e alisar, inclusive afastamento e empilhamento</v>
      </c>
      <c r="E24" s="318"/>
      <c r="F24" s="318"/>
      <c r="G24" s="91" t="str">
        <f>'PLANILHA ORÇAMENTARIA'!E20</f>
        <v>m²</v>
      </c>
      <c r="H24" s="94">
        <f>H32</f>
        <v>13.98</v>
      </c>
    </row>
    <row r="25" spans="1:8">
      <c r="A25" s="339"/>
      <c r="B25" s="100" t="s">
        <v>411</v>
      </c>
      <c r="C25" s="314" t="s">
        <v>412</v>
      </c>
      <c r="D25" s="314"/>
      <c r="E25" s="314"/>
      <c r="F25" s="314"/>
      <c r="G25" s="314"/>
      <c r="H25" s="95">
        <f t="shared" ref="H25:H30" si="0">0.8*2.1</f>
        <v>1.6800000000000002</v>
      </c>
    </row>
    <row r="26" spans="1:8">
      <c r="A26" s="339"/>
      <c r="B26" s="100" t="s">
        <v>414</v>
      </c>
      <c r="C26" s="314" t="s">
        <v>412</v>
      </c>
      <c r="D26" s="314"/>
      <c r="E26" s="314"/>
      <c r="F26" s="314"/>
      <c r="G26" s="314"/>
      <c r="H26" s="95">
        <f t="shared" si="0"/>
        <v>1.6800000000000002</v>
      </c>
    </row>
    <row r="27" spans="1:8">
      <c r="A27" s="339"/>
      <c r="B27" s="100" t="s">
        <v>413</v>
      </c>
      <c r="C27" s="314" t="s">
        <v>412</v>
      </c>
      <c r="D27" s="314"/>
      <c r="E27" s="314"/>
      <c r="F27" s="314"/>
      <c r="G27" s="314"/>
      <c r="H27" s="95">
        <f t="shared" si="0"/>
        <v>1.6800000000000002</v>
      </c>
    </row>
    <row r="28" spans="1:8">
      <c r="A28" s="339"/>
      <c r="B28" s="100" t="s">
        <v>415</v>
      </c>
      <c r="C28" s="314" t="s">
        <v>416</v>
      </c>
      <c r="D28" s="314"/>
      <c r="E28" s="314"/>
      <c r="F28" s="314"/>
      <c r="G28" s="314"/>
      <c r="H28" s="95">
        <f t="shared" si="0"/>
        <v>1.6800000000000002</v>
      </c>
    </row>
    <row r="29" spans="1:8">
      <c r="A29" s="339"/>
      <c r="B29" s="100" t="s">
        <v>417</v>
      </c>
      <c r="C29" s="314" t="s">
        <v>412</v>
      </c>
      <c r="D29" s="314"/>
      <c r="E29" s="314"/>
      <c r="F29" s="314"/>
      <c r="G29" s="314"/>
      <c r="H29" s="95">
        <f t="shared" si="0"/>
        <v>1.6800000000000002</v>
      </c>
    </row>
    <row r="30" spans="1:8">
      <c r="A30" s="339"/>
      <c r="B30" s="100" t="s">
        <v>418</v>
      </c>
      <c r="C30" s="314" t="s">
        <v>416</v>
      </c>
      <c r="D30" s="314"/>
      <c r="E30" s="314"/>
      <c r="F30" s="314"/>
      <c r="G30" s="314"/>
      <c r="H30" s="95">
        <f t="shared" si="0"/>
        <v>1.6800000000000002</v>
      </c>
    </row>
    <row r="31" spans="1:8">
      <c r="A31" s="339"/>
      <c r="B31" s="100" t="s">
        <v>418</v>
      </c>
      <c r="C31" s="314" t="s">
        <v>419</v>
      </c>
      <c r="D31" s="314"/>
      <c r="E31" s="314"/>
      <c r="F31" s="314"/>
      <c r="G31" s="314"/>
      <c r="H31" s="95">
        <f>3*1.3</f>
        <v>3.9000000000000004</v>
      </c>
    </row>
    <row r="32" spans="1:8">
      <c r="A32" s="340"/>
      <c r="B32" s="140"/>
      <c r="C32" s="319" t="s">
        <v>177</v>
      </c>
      <c r="D32" s="319"/>
      <c r="E32" s="319"/>
      <c r="F32" s="319"/>
      <c r="G32" s="319"/>
      <c r="H32" s="96">
        <f>SUM(H25:H31)</f>
        <v>13.98</v>
      </c>
    </row>
    <row r="33" spans="1:8">
      <c r="A33" s="329" t="str">
        <f>'PLANILHA ORÇAMENTARIA'!A21</f>
        <v>2.1.2</v>
      </c>
      <c r="B33" s="92">
        <f>'PLANILHA ORÇAMENTARIA'!B21</f>
        <v>227</v>
      </c>
      <c r="C33" s="93" t="str">
        <f>'PLANILHA ORÇAMENTARIA'!C21</f>
        <v>ORSE</v>
      </c>
      <c r="D33" s="318" t="str">
        <f>'PLANILHA ORÇAMENTARIA'!D21</f>
        <v>Remoção de estrutura metálica chumbada em concreto (grades de janela e gradis externos)</v>
      </c>
      <c r="E33" s="318"/>
      <c r="F33" s="318"/>
      <c r="G33" s="91" t="str">
        <f>'PLANILHA ORÇAMENTARIA'!E21</f>
        <v>m²</v>
      </c>
      <c r="H33" s="94">
        <f>H38</f>
        <v>10.734999999999999</v>
      </c>
    </row>
    <row r="34" spans="1:8">
      <c r="A34" s="330"/>
      <c r="B34" s="100" t="s">
        <v>396</v>
      </c>
      <c r="C34" s="314" t="s">
        <v>420</v>
      </c>
      <c r="D34" s="314"/>
      <c r="E34" s="314"/>
      <c r="F34" s="314"/>
      <c r="G34" s="314"/>
      <c r="H34" s="95">
        <f>1.9*1.45</f>
        <v>2.7549999999999999</v>
      </c>
    </row>
    <row r="35" spans="1:8">
      <c r="A35" s="330"/>
      <c r="B35" s="100" t="s">
        <v>396</v>
      </c>
      <c r="C35" s="314" t="s">
        <v>421</v>
      </c>
      <c r="D35" s="314"/>
      <c r="E35" s="314"/>
      <c r="F35" s="314"/>
      <c r="G35" s="314"/>
      <c r="H35" s="95">
        <f>1.2*0.6</f>
        <v>0.72</v>
      </c>
    </row>
    <row r="36" spans="1:8">
      <c r="A36" s="330"/>
      <c r="B36" s="100" t="s">
        <v>422</v>
      </c>
      <c r="C36" s="314" t="s">
        <v>423</v>
      </c>
      <c r="D36" s="314"/>
      <c r="E36" s="314"/>
      <c r="F36" s="314"/>
      <c r="G36" s="314"/>
      <c r="H36" s="95">
        <f>1.6*2.1</f>
        <v>3.3600000000000003</v>
      </c>
    </row>
    <row r="37" spans="1:8">
      <c r="A37" s="330"/>
      <c r="B37" s="100" t="s">
        <v>418</v>
      </c>
      <c r="C37" s="314" t="s">
        <v>424</v>
      </c>
      <c r="D37" s="314"/>
      <c r="E37" s="314"/>
      <c r="F37" s="314"/>
      <c r="G37" s="314"/>
      <c r="H37" s="95">
        <f>3*1.3</f>
        <v>3.9000000000000004</v>
      </c>
    </row>
    <row r="38" spans="1:8">
      <c r="A38" s="331"/>
      <c r="B38" s="87"/>
      <c r="C38" s="319" t="s">
        <v>177</v>
      </c>
      <c r="D38" s="319"/>
      <c r="E38" s="319"/>
      <c r="F38" s="319"/>
      <c r="G38" s="319"/>
      <c r="H38" s="96">
        <f>SUM(H34:H37)</f>
        <v>10.734999999999999</v>
      </c>
    </row>
    <row r="39" spans="1:8">
      <c r="A39" s="76" t="str">
        <f>'PLANILHA ORÇAMENTARIA'!A22</f>
        <v>2.2</v>
      </c>
      <c r="B39" s="259"/>
      <c r="C39" s="260"/>
      <c r="D39" s="268" t="s">
        <v>167</v>
      </c>
      <c r="E39" s="269"/>
      <c r="F39" s="269"/>
      <c r="G39" s="269"/>
      <c r="H39" s="270"/>
    </row>
    <row r="40" spans="1:8">
      <c r="A40" s="329" t="str">
        <f>'PLANILHA ORÇAMENTARIA'!A23</f>
        <v>2.2.1</v>
      </c>
      <c r="B40" s="92" t="str">
        <f>'PLANILHA ORÇAMENTARIA'!B23</f>
        <v>DEM-FOR-010</v>
      </c>
      <c r="C40" s="93" t="str">
        <f>'PLANILHA ORÇAMENTARIA'!C23</f>
        <v>SETOP</v>
      </c>
      <c r="D40" s="318" t="str">
        <f>'PLANILHA ORÇAMENTARIA'!D23</f>
        <v>Demolição de forro de placas exclusive barroteamento com afastamento e empilhamento</v>
      </c>
      <c r="E40" s="318"/>
      <c r="F40" s="318"/>
      <c r="G40" s="91" t="str">
        <f>'PLANILHA ORÇAMENTARIA'!E23</f>
        <v>m²</v>
      </c>
      <c r="H40" s="94">
        <f>H57</f>
        <v>587.27</v>
      </c>
    </row>
    <row r="41" spans="1:8">
      <c r="A41" s="330"/>
      <c r="B41" s="100" t="s">
        <v>426</v>
      </c>
      <c r="C41" s="314" t="s">
        <v>427</v>
      </c>
      <c r="D41" s="314"/>
      <c r="E41" s="314"/>
      <c r="F41" s="314"/>
      <c r="G41" s="314"/>
      <c r="H41" s="101">
        <v>23.8</v>
      </c>
    </row>
    <row r="42" spans="1:8">
      <c r="A42" s="330"/>
      <c r="B42" s="100" t="s">
        <v>428</v>
      </c>
      <c r="C42" s="314" t="s">
        <v>427</v>
      </c>
      <c r="D42" s="314"/>
      <c r="E42" s="314"/>
      <c r="F42" s="314"/>
      <c r="G42" s="314"/>
      <c r="H42" s="101">
        <v>39</v>
      </c>
    </row>
    <row r="43" spans="1:8">
      <c r="A43" s="330"/>
      <c r="B43" s="100" t="s">
        <v>430</v>
      </c>
      <c r="C43" s="314" t="s">
        <v>427</v>
      </c>
      <c r="D43" s="314"/>
      <c r="E43" s="314"/>
      <c r="F43" s="314"/>
      <c r="G43" s="314"/>
      <c r="H43" s="101">
        <v>39</v>
      </c>
    </row>
    <row r="44" spans="1:8">
      <c r="A44" s="330"/>
      <c r="B44" s="100" t="s">
        <v>414</v>
      </c>
      <c r="C44" s="314" t="s">
        <v>427</v>
      </c>
      <c r="D44" s="314"/>
      <c r="E44" s="314"/>
      <c r="F44" s="314"/>
      <c r="G44" s="314"/>
      <c r="H44" s="101">
        <v>39</v>
      </c>
    </row>
    <row r="45" spans="1:8">
      <c r="A45" s="330"/>
      <c r="B45" s="100" t="s">
        <v>433</v>
      </c>
      <c r="C45" s="314" t="s">
        <v>427</v>
      </c>
      <c r="D45" s="314"/>
      <c r="E45" s="314"/>
      <c r="F45" s="314"/>
      <c r="G45" s="314"/>
      <c r="H45" s="101">
        <v>39</v>
      </c>
    </row>
    <row r="46" spans="1:8">
      <c r="A46" s="330"/>
      <c r="B46" s="100" t="s">
        <v>429</v>
      </c>
      <c r="C46" s="314" t="s">
        <v>427</v>
      </c>
      <c r="D46" s="314"/>
      <c r="E46" s="314"/>
      <c r="F46" s="314"/>
      <c r="G46" s="314"/>
      <c r="H46" s="101">
        <v>39</v>
      </c>
    </row>
    <row r="47" spans="1:8">
      <c r="A47" s="330"/>
      <c r="B47" s="100" t="s">
        <v>434</v>
      </c>
      <c r="C47" s="314" t="s">
        <v>427</v>
      </c>
      <c r="D47" s="314"/>
      <c r="E47" s="314"/>
      <c r="F47" s="314"/>
      <c r="G47" s="314"/>
      <c r="H47" s="101">
        <v>18</v>
      </c>
    </row>
    <row r="48" spans="1:8">
      <c r="A48" s="330"/>
      <c r="B48" s="100" t="s">
        <v>435</v>
      </c>
      <c r="C48" s="314" t="s">
        <v>427</v>
      </c>
      <c r="D48" s="314"/>
      <c r="E48" s="314"/>
      <c r="F48" s="314"/>
      <c r="G48" s="314"/>
      <c r="H48" s="101">
        <v>18</v>
      </c>
    </row>
    <row r="49" spans="1:8">
      <c r="A49" s="330"/>
      <c r="B49" s="100" t="s">
        <v>396</v>
      </c>
      <c r="C49" s="314" t="s">
        <v>427</v>
      </c>
      <c r="D49" s="314"/>
      <c r="E49" s="314"/>
      <c r="F49" s="314"/>
      <c r="G49" s="314"/>
      <c r="H49" s="101">
        <v>5.5</v>
      </c>
    </row>
    <row r="50" spans="1:8">
      <c r="A50" s="330"/>
      <c r="B50" s="100" t="s">
        <v>436</v>
      </c>
      <c r="C50" s="314" t="s">
        <v>427</v>
      </c>
      <c r="D50" s="314"/>
      <c r="E50" s="314"/>
      <c r="F50" s="314"/>
      <c r="G50" s="314"/>
      <c r="H50" s="101">
        <v>44.11</v>
      </c>
    </row>
    <row r="51" spans="1:8">
      <c r="A51" s="330"/>
      <c r="B51" s="100" t="s">
        <v>417</v>
      </c>
      <c r="C51" s="314" t="s">
        <v>427</v>
      </c>
      <c r="D51" s="314"/>
      <c r="E51" s="314"/>
      <c r="F51" s="314"/>
      <c r="G51" s="314"/>
      <c r="H51" s="101">
        <v>45.09</v>
      </c>
    </row>
    <row r="52" spans="1:8">
      <c r="A52" s="330"/>
      <c r="B52" s="100" t="s">
        <v>437</v>
      </c>
      <c r="C52" s="314" t="s">
        <v>427</v>
      </c>
      <c r="D52" s="314"/>
      <c r="E52" s="314"/>
      <c r="F52" s="314"/>
      <c r="G52" s="314"/>
      <c r="H52" s="101">
        <v>30.3</v>
      </c>
    </row>
    <row r="53" spans="1:8">
      <c r="A53" s="330"/>
      <c r="B53" s="100" t="s">
        <v>439</v>
      </c>
      <c r="C53" s="314" t="s">
        <v>427</v>
      </c>
      <c r="D53" s="314"/>
      <c r="E53" s="314"/>
      <c r="F53" s="314"/>
      <c r="G53" s="314"/>
      <c r="H53" s="101">
        <v>6.93</v>
      </c>
    </row>
    <row r="54" spans="1:8">
      <c r="A54" s="330"/>
      <c r="B54" s="100" t="s">
        <v>440</v>
      </c>
      <c r="C54" s="314" t="s">
        <v>427</v>
      </c>
      <c r="D54" s="314"/>
      <c r="E54" s="314"/>
      <c r="F54" s="314"/>
      <c r="G54" s="314"/>
      <c r="H54" s="101">
        <v>6.93</v>
      </c>
    </row>
    <row r="55" spans="1:8">
      <c r="A55" s="330"/>
      <c r="B55" s="100" t="s">
        <v>441</v>
      </c>
      <c r="C55" s="314" t="s">
        <v>427</v>
      </c>
      <c r="D55" s="314"/>
      <c r="E55" s="314"/>
      <c r="F55" s="314"/>
      <c r="G55" s="314"/>
      <c r="H55" s="101">
        <v>4.09</v>
      </c>
    </row>
    <row r="56" spans="1:8">
      <c r="A56" s="330"/>
      <c r="B56" s="100" t="s">
        <v>438</v>
      </c>
      <c r="C56" s="314" t="s">
        <v>442</v>
      </c>
      <c r="D56" s="314"/>
      <c r="E56" s="314"/>
      <c r="F56" s="314"/>
      <c r="G56" s="314"/>
      <c r="H56" s="101">
        <f>(10.6+9.15+6.21+27.6+4.45+36.75)*2</f>
        <v>189.52</v>
      </c>
    </row>
    <row r="57" spans="1:8">
      <c r="A57" s="331"/>
      <c r="B57" s="87"/>
      <c r="C57" s="319" t="s">
        <v>177</v>
      </c>
      <c r="D57" s="319"/>
      <c r="E57" s="319"/>
      <c r="F57" s="319"/>
      <c r="G57" s="319"/>
      <c r="H57" s="96">
        <f>SUM(H41:H56)</f>
        <v>587.27</v>
      </c>
    </row>
    <row r="58" spans="1:8">
      <c r="A58" s="329" t="str">
        <f>'PLANILHA ORÇAMENTARIA'!A24</f>
        <v>2.2.2</v>
      </c>
      <c r="B58" s="92">
        <f>'PLANILHA ORÇAMENTARIA'!B24</f>
        <v>100330</v>
      </c>
      <c r="C58" s="93" t="str">
        <f>'PLANILHA ORÇAMENTARIA'!C24</f>
        <v>SINAPI</v>
      </c>
      <c r="D58" s="318" t="str">
        <f>'PLANILHA ORÇAMENTARIA'!D24</f>
        <v>Retirada e recolocação de telha cerâmica capa-canal, com até duas águas incluso içamento</v>
      </c>
      <c r="E58" s="318"/>
      <c r="F58" s="318"/>
      <c r="G58" s="91" t="str">
        <f>'PLANILHA ORÇAMENTARIA'!E24</f>
        <v>m²</v>
      </c>
      <c r="H58" s="94">
        <f>H60</f>
        <v>950.59</v>
      </c>
    </row>
    <row r="59" spans="1:8">
      <c r="A59" s="330"/>
      <c r="B59" s="100" t="s">
        <v>446</v>
      </c>
      <c r="C59" s="314" t="s">
        <v>447</v>
      </c>
      <c r="D59" s="314"/>
      <c r="E59" s="314"/>
      <c r="F59" s="314"/>
      <c r="G59" s="314"/>
      <c r="H59" s="101">
        <v>950.59</v>
      </c>
    </row>
    <row r="60" spans="1:8">
      <c r="A60" s="331"/>
      <c r="B60" s="87"/>
      <c r="C60" s="319" t="s">
        <v>177</v>
      </c>
      <c r="D60" s="319"/>
      <c r="E60" s="319"/>
      <c r="F60" s="319"/>
      <c r="G60" s="319"/>
      <c r="H60" s="96">
        <f>SUM(H59:H59)</f>
        <v>950.59</v>
      </c>
    </row>
    <row r="61" spans="1:8">
      <c r="A61" s="329" t="str">
        <f>'PLANILHA ORÇAMENTARIA'!A25</f>
        <v>2.2.3</v>
      </c>
      <c r="B61" s="92" t="str">
        <f>'PLANILHA ORÇAMENTARIA'!B25</f>
        <v>DEM-TEL-005</v>
      </c>
      <c r="C61" s="93" t="str">
        <f>'PLANILHA ORÇAMENTARIA'!C25</f>
        <v>SETOP</v>
      </c>
      <c r="D61" s="318" t="str">
        <f>'PLANILHA ORÇAMENTARIA'!D25</f>
        <v>Remoção de telha metálica ou pvc, inclusive afastamento e empilhamento</v>
      </c>
      <c r="E61" s="318"/>
      <c r="F61" s="318"/>
      <c r="G61" s="91" t="str">
        <f>'PLANILHA ORÇAMENTARIA'!E25</f>
        <v>m²</v>
      </c>
      <c r="H61" s="94">
        <f>H63</f>
        <v>268</v>
      </c>
    </row>
    <row r="62" spans="1:8">
      <c r="A62" s="330"/>
      <c r="B62" s="100" t="s">
        <v>445</v>
      </c>
      <c r="C62" s="314" t="s">
        <v>448</v>
      </c>
      <c r="D62" s="314"/>
      <c r="E62" s="314"/>
      <c r="F62" s="314"/>
      <c r="G62" s="314"/>
      <c r="H62" s="101">
        <v>268</v>
      </c>
    </row>
    <row r="63" spans="1:8">
      <c r="A63" s="331"/>
      <c r="B63" s="87"/>
      <c r="C63" s="319" t="s">
        <v>177</v>
      </c>
      <c r="D63" s="319"/>
      <c r="E63" s="319"/>
      <c r="F63" s="319"/>
      <c r="G63" s="319"/>
      <c r="H63" s="96">
        <f>SUM(H62:H62)</f>
        <v>268</v>
      </c>
    </row>
    <row r="64" spans="1:8">
      <c r="A64" s="329" t="str">
        <f>'PLANILHA ORÇAMENTARIA'!A26</f>
        <v>2.2.4</v>
      </c>
      <c r="B64" s="92" t="str">
        <f>'PLANILHA ORÇAMENTARIA'!B26</f>
        <v>DEM-CAL-005</v>
      </c>
      <c r="C64" s="93" t="str">
        <f>'PLANILHA ORÇAMENTARIA'!C26</f>
        <v>SETOP</v>
      </c>
      <c r="D64" s="318" t="str">
        <f>'PLANILHA ORÇAMENTARIA'!D26</f>
        <v>Remoção de calha galvanizada ou pvc, inclusive afastamento</v>
      </c>
      <c r="E64" s="318"/>
      <c r="F64" s="318"/>
      <c r="G64" s="91" t="str">
        <f>'PLANILHA ORÇAMENTARIA'!E26</f>
        <v>m</v>
      </c>
      <c r="H64" s="94">
        <f>H66</f>
        <v>77.819999999999993</v>
      </c>
    </row>
    <row r="65" spans="1:8">
      <c r="A65" s="330"/>
      <c r="B65" s="100" t="s">
        <v>444</v>
      </c>
      <c r="C65" s="314" t="s">
        <v>443</v>
      </c>
      <c r="D65" s="314"/>
      <c r="E65" s="314"/>
      <c r="F65" s="314"/>
      <c r="G65" s="314"/>
      <c r="H65" s="101">
        <f>38.91*2</f>
        <v>77.819999999999993</v>
      </c>
    </row>
    <row r="66" spans="1:8">
      <c r="A66" s="331"/>
      <c r="B66" s="87"/>
      <c r="C66" s="319" t="s">
        <v>177</v>
      </c>
      <c r="D66" s="319"/>
      <c r="E66" s="319"/>
      <c r="F66" s="319"/>
      <c r="G66" s="319"/>
      <c r="H66" s="96">
        <f>SUM(H65:H65)</f>
        <v>77.819999999999993</v>
      </c>
    </row>
    <row r="67" spans="1:8">
      <c r="A67" s="76" t="str">
        <f>'PLANILHA ORÇAMENTARIA'!A27</f>
        <v>2.3</v>
      </c>
      <c r="B67" s="259"/>
      <c r="C67" s="260"/>
      <c r="D67" s="268" t="s">
        <v>91</v>
      </c>
      <c r="E67" s="269"/>
      <c r="F67" s="269"/>
      <c r="G67" s="269"/>
      <c r="H67" s="270"/>
    </row>
    <row r="68" spans="1:8">
      <c r="A68" s="332" t="str">
        <f>'PLANILHA ORÇAMENTARIA'!A28</f>
        <v>2.3.1</v>
      </c>
      <c r="B68" s="92" t="str">
        <f>'PLANILHA ORÇAMENTARIA'!B28</f>
        <v>DEM-ALV-005</v>
      </c>
      <c r="C68" s="93" t="str">
        <f>'PLANILHA ORÇAMENTARIA'!C28</f>
        <v>SETOP</v>
      </c>
      <c r="D68" s="318" t="str">
        <f>'PLANILHA ORÇAMENTARIA'!D28</f>
        <v>Demolição de alvenaria de tijolo e bloco sem aproveitamento do material, inclusive afastamento</v>
      </c>
      <c r="E68" s="318"/>
      <c r="F68" s="318"/>
      <c r="G68" s="91" t="str">
        <f>'PLANILHA ORÇAMENTARIA'!E28</f>
        <v>m³</v>
      </c>
      <c r="H68" s="94">
        <f>H72</f>
        <v>19.357499999999998</v>
      </c>
    </row>
    <row r="69" spans="1:8">
      <c r="A69" s="333"/>
      <c r="B69" s="100" t="s">
        <v>459</v>
      </c>
      <c r="C69" s="314" t="s">
        <v>549</v>
      </c>
      <c r="D69" s="314"/>
      <c r="E69" s="314"/>
      <c r="F69" s="314"/>
      <c r="G69" s="314"/>
      <c r="H69" s="95">
        <f>((3*2.8)+(1*0.5))-(0.8*2.1)</f>
        <v>7.2199999999999989</v>
      </c>
    </row>
    <row r="70" spans="1:8">
      <c r="A70" s="333"/>
      <c r="B70" s="100" t="s">
        <v>454</v>
      </c>
      <c r="C70" s="314" t="s">
        <v>550</v>
      </c>
      <c r="D70" s="314"/>
      <c r="E70" s="314"/>
      <c r="F70" s="314"/>
      <c r="G70" s="314"/>
      <c r="H70" s="95">
        <f>(0.8*2.1*2)+(2.5*2.8)</f>
        <v>10.36</v>
      </c>
    </row>
    <row r="71" spans="1:8">
      <c r="A71" s="333"/>
      <c r="B71" s="100" t="s">
        <v>396</v>
      </c>
      <c r="C71" s="314" t="s">
        <v>551</v>
      </c>
      <c r="D71" s="314"/>
      <c r="E71" s="314"/>
      <c r="F71" s="314"/>
      <c r="G71" s="314"/>
      <c r="H71" s="95">
        <f>((1.65+2)*0.35)+(1*0.5)</f>
        <v>1.7774999999999999</v>
      </c>
    </row>
    <row r="72" spans="1:8">
      <c r="A72" s="334"/>
      <c r="B72" s="140"/>
      <c r="C72" s="319" t="s">
        <v>177</v>
      </c>
      <c r="D72" s="319"/>
      <c r="E72" s="319"/>
      <c r="F72" s="319"/>
      <c r="G72" s="319"/>
      <c r="H72" s="96">
        <f>SUM(H69:H71)</f>
        <v>19.357499999999998</v>
      </c>
    </row>
    <row r="73" spans="1:8">
      <c r="A73" s="320" t="str">
        <f>'PLANILHA ORÇAMENTARIA'!A29</f>
        <v>2.3.2</v>
      </c>
      <c r="B73" s="92" t="str">
        <f>'PLANILHA ORÇAMENTARIA'!B29</f>
        <v>DEM-REV-010</v>
      </c>
      <c r="C73" s="93" t="str">
        <f>'PLANILHA ORÇAMENTARIA'!C29</f>
        <v>SETOP</v>
      </c>
      <c r="D73" s="318" t="str">
        <f>'PLANILHA ORÇAMENTARIA'!D29</f>
        <v>Demolição de revestimento cerâmico, azulejo ou ladrilho hidráulico inclusive afastamento</v>
      </c>
      <c r="E73" s="318"/>
      <c r="F73" s="318"/>
      <c r="G73" s="91" t="str">
        <f>'PLANILHA ORÇAMENTARIA'!E29</f>
        <v>m²</v>
      </c>
      <c r="H73" s="94">
        <f>H107</f>
        <v>1292.8150000000001</v>
      </c>
    </row>
    <row r="74" spans="1:8">
      <c r="A74" s="321"/>
      <c r="B74" s="100" t="s">
        <v>428</v>
      </c>
      <c r="C74" s="324" t="s">
        <v>463</v>
      </c>
      <c r="D74" s="324"/>
      <c r="E74" s="324"/>
      <c r="F74" s="324"/>
      <c r="G74" s="324"/>
      <c r="H74" s="95">
        <f>((6.5+6.15+6.5+6.15)*1.8)-((0.8*1.8)+(6*0.8))</f>
        <v>39.299999999999997</v>
      </c>
    </row>
    <row r="75" spans="1:8">
      <c r="A75" s="321"/>
      <c r="B75" s="100" t="s">
        <v>430</v>
      </c>
      <c r="C75" s="324" t="s">
        <v>463</v>
      </c>
      <c r="D75" s="324"/>
      <c r="E75" s="324"/>
      <c r="F75" s="324"/>
      <c r="G75" s="324"/>
      <c r="H75" s="95">
        <f>((6.5+6.15+6.5+6.15)*1.8)-((0.8*1.8)+(6*0.8))</f>
        <v>39.299999999999997</v>
      </c>
    </row>
    <row r="76" spans="1:8">
      <c r="A76" s="321"/>
      <c r="B76" s="100" t="s">
        <v>431</v>
      </c>
      <c r="C76" s="324" t="s">
        <v>464</v>
      </c>
      <c r="D76" s="324"/>
      <c r="E76" s="324"/>
      <c r="F76" s="324"/>
      <c r="G76" s="324"/>
      <c r="H76" s="95">
        <f>((7.35+6.15+7.35+6.15)*1.8)-((0.8*1.8)+(6*0.8))</f>
        <v>42.36</v>
      </c>
    </row>
    <row r="77" spans="1:8">
      <c r="A77" s="321"/>
      <c r="B77" s="100" t="s">
        <v>411</v>
      </c>
      <c r="C77" s="324" t="s">
        <v>465</v>
      </c>
      <c r="D77" s="324"/>
      <c r="E77" s="324"/>
      <c r="F77" s="324"/>
      <c r="G77" s="324"/>
      <c r="H77" s="95">
        <f>((5.5+6.15+5.5+6.15)*1.8)-((0.8*1.8)+(3*0.8))</f>
        <v>38.099999999999994</v>
      </c>
    </row>
    <row r="78" spans="1:8">
      <c r="A78" s="321"/>
      <c r="B78" s="100" t="s">
        <v>414</v>
      </c>
      <c r="C78" s="324" t="s">
        <v>463</v>
      </c>
      <c r="D78" s="324"/>
      <c r="E78" s="324"/>
      <c r="F78" s="324"/>
      <c r="G78" s="324"/>
      <c r="H78" s="95">
        <f>((6.5+6.15+6.5+6.15)*1.8)-((0.8*1.8)+(6*0.8))</f>
        <v>39.299999999999997</v>
      </c>
    </row>
    <row r="79" spans="1:8">
      <c r="A79" s="321"/>
      <c r="B79" s="100" t="s">
        <v>432</v>
      </c>
      <c r="C79" s="324" t="s">
        <v>466</v>
      </c>
      <c r="D79" s="324"/>
      <c r="E79" s="324"/>
      <c r="F79" s="324"/>
      <c r="G79" s="324"/>
      <c r="H79" s="95">
        <f t="shared" ref="H79" si="1">((6.5+6.1+6.5+6.1)*1.8)-((0.8*1.8)+(6*0.8))</f>
        <v>39.120000000000005</v>
      </c>
    </row>
    <row r="80" spans="1:8">
      <c r="A80" s="321"/>
      <c r="B80" s="100" t="s">
        <v>413</v>
      </c>
      <c r="C80" s="324" t="s">
        <v>466</v>
      </c>
      <c r="D80" s="324"/>
      <c r="E80" s="324"/>
      <c r="F80" s="324"/>
      <c r="G80" s="324"/>
      <c r="H80" s="95">
        <f>((6.5+6.1+6.5+6.1)*1.8)-((0.8*1.8)+(6*0.8))</f>
        <v>39.120000000000005</v>
      </c>
    </row>
    <row r="81" spans="1:8">
      <c r="A81" s="321"/>
      <c r="B81" s="100" t="s">
        <v>433</v>
      </c>
      <c r="C81" s="324" t="s">
        <v>466</v>
      </c>
      <c r="D81" s="324"/>
      <c r="E81" s="324"/>
      <c r="F81" s="324"/>
      <c r="G81" s="324"/>
      <c r="H81" s="95">
        <f t="shared" ref="H81:H82" si="2">((6.5+6.1+6.5+6.1)*1.8)-((0.8*1.8)+(6*0.8))</f>
        <v>39.120000000000005</v>
      </c>
    </row>
    <row r="82" spans="1:8">
      <c r="A82" s="321"/>
      <c r="B82" s="100" t="s">
        <v>429</v>
      </c>
      <c r="C82" s="324" t="s">
        <v>466</v>
      </c>
      <c r="D82" s="324"/>
      <c r="E82" s="324"/>
      <c r="F82" s="324"/>
      <c r="G82" s="324"/>
      <c r="H82" s="95">
        <f t="shared" si="2"/>
        <v>39.120000000000005</v>
      </c>
    </row>
    <row r="83" spans="1:8" ht="30.75" customHeight="1">
      <c r="A83" s="321"/>
      <c r="B83" s="100" t="s">
        <v>449</v>
      </c>
      <c r="C83" s="324" t="s">
        <v>467</v>
      </c>
      <c r="D83" s="324"/>
      <c r="E83" s="324"/>
      <c r="F83" s="324"/>
      <c r="G83" s="324"/>
      <c r="H83" s="95">
        <f>((6+3.1+6+3.1+4.9+4.9+1.4+1.1+1.1+1.1+1.1+2+2)*1.8)-((0.8+0.6+0.6+0.6+1)*1.8)</f>
        <v>61.56</v>
      </c>
    </row>
    <row r="84" spans="1:8" ht="30" customHeight="1">
      <c r="A84" s="321"/>
      <c r="B84" s="100" t="s">
        <v>450</v>
      </c>
      <c r="C84" s="324" t="s">
        <v>468</v>
      </c>
      <c r="D84" s="324"/>
      <c r="E84" s="324"/>
      <c r="F84" s="324"/>
      <c r="G84" s="324"/>
      <c r="H84" s="95">
        <f>((6+3.1+3.62+3.62+3.62+1.35+1.35+1.1+1.1+1.65+2.38+1.45)*1.8)-((0.8+0.6+0.6+1)*1.8)</f>
        <v>49.21200000000001</v>
      </c>
    </row>
    <row r="85" spans="1:8">
      <c r="A85" s="321"/>
      <c r="B85" s="100" t="s">
        <v>451</v>
      </c>
      <c r="C85" s="324" t="s">
        <v>469</v>
      </c>
      <c r="D85" s="324"/>
      <c r="E85" s="324"/>
      <c r="F85" s="324"/>
      <c r="G85" s="324"/>
      <c r="H85" s="95">
        <f>((1.5+2.2+1.5+2.2)*1.8)-(1*1.8)</f>
        <v>11.52</v>
      </c>
    </row>
    <row r="86" spans="1:8">
      <c r="A86" s="321"/>
      <c r="B86" s="100" t="s">
        <v>426</v>
      </c>
      <c r="C86" s="324" t="s">
        <v>470</v>
      </c>
      <c r="D86" s="324"/>
      <c r="E86" s="324"/>
      <c r="F86" s="324"/>
      <c r="G86" s="324"/>
      <c r="H86" s="95">
        <f>((5.35+4.45+5.35+4.45)*1.8)-((0.8*1.8)+(4.3*0.8))</f>
        <v>30.400000000000002</v>
      </c>
    </row>
    <row r="87" spans="1:8">
      <c r="A87" s="321"/>
      <c r="B87" s="100" t="s">
        <v>434</v>
      </c>
      <c r="C87" s="324" t="s">
        <v>471</v>
      </c>
      <c r="D87" s="324"/>
      <c r="E87" s="324"/>
      <c r="F87" s="324"/>
      <c r="G87" s="324"/>
      <c r="H87" s="95">
        <f>((3+6.15+3+6.15)*1.8)-((1*1.8)+(2.9*0.8))</f>
        <v>28.820000000000004</v>
      </c>
    </row>
    <row r="88" spans="1:8" ht="30" customHeight="1">
      <c r="A88" s="321"/>
      <c r="B88" s="100" t="s">
        <v>435</v>
      </c>
      <c r="C88" s="324" t="s">
        <v>472</v>
      </c>
      <c r="D88" s="324"/>
      <c r="E88" s="324"/>
      <c r="F88" s="324"/>
      <c r="G88" s="324"/>
      <c r="H88" s="95">
        <f>((3+6+6+4.17+3+1.83+3)*1.8)-((0.8*1.8*3)+(2.8*0.8))</f>
        <v>42.04</v>
      </c>
    </row>
    <row r="89" spans="1:8">
      <c r="A89" s="321"/>
      <c r="B89" s="100" t="s">
        <v>452</v>
      </c>
      <c r="C89" s="324" t="s">
        <v>473</v>
      </c>
      <c r="D89" s="324"/>
      <c r="E89" s="324"/>
      <c r="F89" s="324"/>
      <c r="G89" s="324"/>
      <c r="H89" s="95">
        <f>((2.85+1.7+2.85+1.7)*1.8)-(0.8*1.8)</f>
        <v>14.94</v>
      </c>
    </row>
    <row r="90" spans="1:8" ht="30" customHeight="1">
      <c r="A90" s="321"/>
      <c r="B90" s="100" t="s">
        <v>453</v>
      </c>
      <c r="C90" s="324" t="s">
        <v>474</v>
      </c>
      <c r="D90" s="324"/>
      <c r="E90" s="324"/>
      <c r="F90" s="324"/>
      <c r="G90" s="324"/>
      <c r="H90" s="95">
        <f>((6.15+6.15+5.05+5.05)*2.5)+((0.8*2.1*2)+(3*1.2*2))</f>
        <v>66.56</v>
      </c>
    </row>
    <row r="91" spans="1:8" ht="30.75" customHeight="1">
      <c r="A91" s="321"/>
      <c r="B91" s="100" t="s">
        <v>396</v>
      </c>
      <c r="C91" s="324" t="s">
        <v>475</v>
      </c>
      <c r="D91" s="324"/>
      <c r="E91" s="324"/>
      <c r="F91" s="324"/>
      <c r="G91" s="324"/>
      <c r="H91" s="95">
        <f>((6.25+5.4+8.3+2.75+2.05+2.65)*2.5)-((3*1)+(0.8*2.1*3)+((1.7+1.93)*1.45))</f>
        <v>55.1965</v>
      </c>
    </row>
    <row r="92" spans="1:8">
      <c r="A92" s="321"/>
      <c r="B92" s="100" t="s">
        <v>454</v>
      </c>
      <c r="C92" s="324" t="s">
        <v>476</v>
      </c>
      <c r="D92" s="324"/>
      <c r="E92" s="324"/>
      <c r="F92" s="324"/>
      <c r="G92" s="324"/>
      <c r="H92" s="95">
        <f>((1.9+4.05+1.9+4.05)*2.5)-((0.8*2.1)+(1*0.5))</f>
        <v>27.569999999999997</v>
      </c>
    </row>
    <row r="93" spans="1:8">
      <c r="A93" s="321"/>
      <c r="B93" s="100" t="s">
        <v>439</v>
      </c>
      <c r="C93" s="324" t="s">
        <v>477</v>
      </c>
      <c r="D93" s="324"/>
      <c r="E93" s="324"/>
      <c r="F93" s="324"/>
      <c r="G93" s="324"/>
      <c r="H93" s="95">
        <f>((3.15+2.2+3.15+2.2)*2.3)-((0.8*2.1)+(1*0.5))</f>
        <v>22.429999999999996</v>
      </c>
    </row>
    <row r="94" spans="1:8">
      <c r="A94" s="321"/>
      <c r="B94" s="100" t="s">
        <v>455</v>
      </c>
      <c r="C94" s="324" t="s">
        <v>477</v>
      </c>
      <c r="D94" s="324"/>
      <c r="E94" s="324"/>
      <c r="F94" s="324"/>
      <c r="G94" s="324"/>
      <c r="H94" s="95">
        <f>((3.15+2.2+3.15+2.2)*2.3)-((0.8*2.1)+(1*0.5))</f>
        <v>22.429999999999996</v>
      </c>
    </row>
    <row r="95" spans="1:8">
      <c r="A95" s="321"/>
      <c r="B95" s="100" t="s">
        <v>441</v>
      </c>
      <c r="C95" s="324" t="s">
        <v>478</v>
      </c>
      <c r="D95" s="324"/>
      <c r="E95" s="324"/>
      <c r="F95" s="324"/>
      <c r="G95" s="324"/>
      <c r="H95" s="95">
        <f>((3.15+1.3+3.15+1.3)*2.3)-((0.8*2.1)+(1*0.5))</f>
        <v>18.29</v>
      </c>
    </row>
    <row r="96" spans="1:8" ht="33" customHeight="1">
      <c r="A96" s="321"/>
      <c r="B96" s="100" t="s">
        <v>456</v>
      </c>
      <c r="C96" s="324" t="s">
        <v>479</v>
      </c>
      <c r="D96" s="324"/>
      <c r="E96" s="324"/>
      <c r="F96" s="324"/>
      <c r="G96" s="324"/>
      <c r="H96" s="95">
        <f>((11.2+5.5+11.2+5.5)+2.3)-((0.8*2.1*8)+(1*2.3)+(3.65*1.2)+(1*0.5*2)+(3*1.2)+(1.93*1.45))</f>
        <v>8.1814999999999962</v>
      </c>
    </row>
    <row r="97" spans="1:8" ht="28.5" customHeight="1">
      <c r="A97" s="321"/>
      <c r="B97" s="100" t="s">
        <v>436</v>
      </c>
      <c r="C97" s="324" t="s">
        <v>480</v>
      </c>
      <c r="D97" s="324"/>
      <c r="E97" s="324"/>
      <c r="F97" s="324"/>
      <c r="G97" s="324"/>
      <c r="H97" s="95">
        <f>((5.9+6+3.25+8.8+2.93)*1.8)-((0.8*1.8)+((1.9+2.4)*0.8))</f>
        <v>43.504000000000005</v>
      </c>
    </row>
    <row r="98" spans="1:8">
      <c r="A98" s="321"/>
      <c r="B98" s="100" t="s">
        <v>437</v>
      </c>
      <c r="C98" s="324" t="s">
        <v>481</v>
      </c>
      <c r="D98" s="324"/>
      <c r="E98" s="324"/>
      <c r="F98" s="324"/>
      <c r="G98" s="324"/>
      <c r="H98" s="95">
        <f>((6+5.05+6+5.05)*1.8)-((0.8*1.8*2)+(3*0.8))</f>
        <v>34.5</v>
      </c>
    </row>
    <row r="99" spans="1:8">
      <c r="A99" s="321"/>
      <c r="B99" s="100" t="s">
        <v>417</v>
      </c>
      <c r="C99" s="324" t="s">
        <v>482</v>
      </c>
      <c r="D99" s="324"/>
      <c r="E99" s="324"/>
      <c r="F99" s="324"/>
      <c r="G99" s="324"/>
      <c r="H99" s="95">
        <f>((8.35+5.4+8.35+5.4)*1.8)-((0.8*1.8*4)+(3.75*0.8))</f>
        <v>40.739999999999995</v>
      </c>
    </row>
    <row r="100" spans="1:8">
      <c r="A100" s="321"/>
      <c r="B100" s="100" t="s">
        <v>457</v>
      </c>
      <c r="C100" s="324" t="s">
        <v>483</v>
      </c>
      <c r="D100" s="324"/>
      <c r="E100" s="324"/>
      <c r="F100" s="324"/>
      <c r="G100" s="324"/>
      <c r="H100" s="95">
        <f>((2+3+2+3)*2.3)-((0.8*2.1)+(1.4*0.4))</f>
        <v>20.759999999999998</v>
      </c>
    </row>
    <row r="101" spans="1:8">
      <c r="A101" s="321"/>
      <c r="B101" s="100" t="s">
        <v>458</v>
      </c>
      <c r="C101" s="324" t="s">
        <v>484</v>
      </c>
      <c r="D101" s="324"/>
      <c r="E101" s="324"/>
      <c r="F101" s="324"/>
      <c r="G101" s="324"/>
      <c r="H101" s="95">
        <f>((2.5+3+2.5+3)*2.3)-((0.8*2.1)+(1.93*1.3))</f>
        <v>21.110999999999997</v>
      </c>
    </row>
    <row r="102" spans="1:8">
      <c r="A102" s="321"/>
      <c r="B102" s="100" t="s">
        <v>418</v>
      </c>
      <c r="C102" s="324" t="s">
        <v>485</v>
      </c>
      <c r="D102" s="324"/>
      <c r="E102" s="324"/>
      <c r="F102" s="324"/>
      <c r="G102" s="324"/>
      <c r="H102" s="95">
        <f>((3.15+3+3.15+3)*2.3)-((0.8*2.1*2)+(3.15*1.2))</f>
        <v>21.15</v>
      </c>
    </row>
    <row r="103" spans="1:8">
      <c r="A103" s="321"/>
      <c r="B103" s="100" t="s">
        <v>459</v>
      </c>
      <c r="C103" s="324" t="s">
        <v>486</v>
      </c>
      <c r="D103" s="324"/>
      <c r="E103" s="324"/>
      <c r="F103" s="324"/>
      <c r="G103" s="324"/>
      <c r="H103" s="95">
        <f>((1.4+3+1.4+3)*2.3)-((0.8*2.1)+(1*0.5))</f>
        <v>18.059999999999999</v>
      </c>
    </row>
    <row r="104" spans="1:8" ht="26.25" customHeight="1">
      <c r="A104" s="321"/>
      <c r="B104" s="100" t="s">
        <v>460</v>
      </c>
      <c r="C104" s="324" t="s">
        <v>487</v>
      </c>
      <c r="D104" s="324"/>
      <c r="E104" s="324"/>
      <c r="F104" s="324"/>
      <c r="G104" s="324"/>
      <c r="H104" s="95">
        <f>((27.6+4.45+27.6+6.15+2.85+6.15)*1.8)-((0.8*1.8*12)+(1*1.8))</f>
        <v>115.56000000000002</v>
      </c>
    </row>
    <row r="105" spans="1:8" ht="29.25" customHeight="1">
      <c r="A105" s="321"/>
      <c r="B105" s="100" t="s">
        <v>461</v>
      </c>
      <c r="C105" s="324" t="s">
        <v>488</v>
      </c>
      <c r="D105" s="324"/>
      <c r="E105" s="324"/>
      <c r="F105" s="324"/>
      <c r="G105" s="324"/>
      <c r="H105" s="95">
        <f>((10.6+9.15+6.15+6.3)*1.8)-((0.8*1.8*4)+(1*1.8)+((2.8+2.7)*0.8))</f>
        <v>45.999999999999993</v>
      </c>
    </row>
    <row r="106" spans="1:8" ht="25.5" customHeight="1">
      <c r="A106" s="321"/>
      <c r="B106" s="100" t="s">
        <v>462</v>
      </c>
      <c r="C106" s="324" t="s">
        <v>489</v>
      </c>
      <c r="D106" s="324"/>
      <c r="E106" s="324"/>
      <c r="F106" s="324"/>
      <c r="G106" s="324"/>
      <c r="H106" s="95">
        <f>((54.5+4.8+12.75+4.8+12.75)*1.8)-((0.8*1.8*6)+(3*0.8*12)+(2*0.8*4))</f>
        <v>117.44</v>
      </c>
    </row>
    <row r="107" spans="1:8">
      <c r="A107" s="322"/>
      <c r="B107" s="140"/>
      <c r="C107" s="319" t="s">
        <v>177</v>
      </c>
      <c r="D107" s="319"/>
      <c r="E107" s="319"/>
      <c r="F107" s="319"/>
      <c r="G107" s="319"/>
      <c r="H107" s="96">
        <f>SUM(H74:H106)</f>
        <v>1292.8150000000001</v>
      </c>
    </row>
    <row r="108" spans="1:8">
      <c r="A108" s="320" t="str">
        <f>'PLANILHA ORÇAMENTARIA'!A30</f>
        <v>2.3.3</v>
      </c>
      <c r="B108" s="92" t="str">
        <f>'PLANILHA ORÇAMENTARIA'!B30</f>
        <v>RO-41652</v>
      </c>
      <c r="C108" s="93" t="str">
        <f>'PLANILHA ORÇAMENTARIA'!C30</f>
        <v>SETOP</v>
      </c>
      <c r="D108" s="318" t="str">
        <f>'PLANILHA ORÇAMENTARIA'!D30</f>
        <v>Tratamento de trincas (execução, incluindo o fornecimento e transporte de todos os materiais)</v>
      </c>
      <c r="E108" s="318"/>
      <c r="F108" s="318"/>
      <c r="G108" s="91" t="str">
        <f>'PLANILHA ORÇAMENTARIA'!E30</f>
        <v>m</v>
      </c>
      <c r="H108" s="94">
        <f>H110</f>
        <v>30</v>
      </c>
    </row>
    <row r="109" spans="1:8">
      <c r="A109" s="321"/>
      <c r="B109" s="100" t="s">
        <v>425</v>
      </c>
      <c r="C109" s="314" t="s">
        <v>490</v>
      </c>
      <c r="D109" s="314"/>
      <c r="E109" s="314"/>
      <c r="F109" s="314"/>
      <c r="G109" s="314"/>
      <c r="H109" s="95">
        <v>30</v>
      </c>
    </row>
    <row r="110" spans="1:8">
      <c r="A110" s="322"/>
      <c r="B110" s="87"/>
      <c r="C110" s="319" t="s">
        <v>177</v>
      </c>
      <c r="D110" s="319"/>
      <c r="E110" s="319"/>
      <c r="F110" s="319"/>
      <c r="G110" s="319"/>
      <c r="H110" s="96">
        <f>SUM(H109:H109)</f>
        <v>30</v>
      </c>
    </row>
    <row r="111" spans="1:8">
      <c r="A111" s="76" t="str">
        <f>'PLANILHA ORÇAMENTARIA'!A31</f>
        <v>2.4</v>
      </c>
      <c r="B111" s="259"/>
      <c r="C111" s="260"/>
      <c r="D111" s="268" t="s">
        <v>83</v>
      </c>
      <c r="E111" s="269"/>
      <c r="F111" s="269"/>
      <c r="G111" s="269"/>
      <c r="H111" s="270"/>
    </row>
    <row r="112" spans="1:8">
      <c r="A112" s="355" t="str">
        <f>'PLANILHA ORÇAMENTARIA'!A32</f>
        <v>2.4.1</v>
      </c>
      <c r="B112" s="92" t="str">
        <f>'PLANILHA ORÇAMENTARIA'!B32</f>
        <v>DEM-PIS-005</v>
      </c>
      <c r="C112" s="93" t="str">
        <f>'PLANILHA ORÇAMENTARIA'!C32</f>
        <v>SETOP</v>
      </c>
      <c r="D112" s="318" t="str">
        <f>'PLANILHA ORÇAMENTARIA'!D32</f>
        <v>Demolição de piso cimentado ou contrapiso de argamassa espessura máxima de 10cm, inclusive afastamento</v>
      </c>
      <c r="E112" s="318"/>
      <c r="F112" s="318"/>
      <c r="G112" s="91" t="str">
        <f>'PLANILHA ORÇAMENTARIA'!E32</f>
        <v>m²</v>
      </c>
      <c r="H112" s="94">
        <f>H118</f>
        <v>169.55</v>
      </c>
    </row>
    <row r="113" spans="1:8">
      <c r="A113" s="356"/>
      <c r="B113" s="100" t="s">
        <v>449</v>
      </c>
      <c r="C113" s="314" t="s">
        <v>491</v>
      </c>
      <c r="D113" s="314"/>
      <c r="E113" s="314"/>
      <c r="F113" s="314"/>
      <c r="G113" s="314"/>
      <c r="H113" s="101">
        <v>18.600000000000001</v>
      </c>
    </row>
    <row r="114" spans="1:8">
      <c r="A114" s="356"/>
      <c r="B114" s="100" t="s">
        <v>450</v>
      </c>
      <c r="C114" s="314" t="s">
        <v>491</v>
      </c>
      <c r="D114" s="314"/>
      <c r="E114" s="314"/>
      <c r="F114" s="314"/>
      <c r="G114" s="314"/>
      <c r="H114" s="101">
        <v>14.67</v>
      </c>
    </row>
    <row r="115" spans="1:8">
      <c r="A115" s="356"/>
      <c r="B115" s="100" t="s">
        <v>451</v>
      </c>
      <c r="C115" s="314" t="s">
        <v>491</v>
      </c>
      <c r="D115" s="314"/>
      <c r="E115" s="314"/>
      <c r="F115" s="314"/>
      <c r="G115" s="314"/>
      <c r="H115" s="101">
        <v>3.34</v>
      </c>
    </row>
    <row r="116" spans="1:8">
      <c r="A116" s="356"/>
      <c r="B116" s="100" t="s">
        <v>492</v>
      </c>
      <c r="C116" s="314" t="s">
        <v>491</v>
      </c>
      <c r="D116" s="314"/>
      <c r="E116" s="314"/>
      <c r="F116" s="314"/>
      <c r="G116" s="314"/>
      <c r="H116" s="101">
        <v>14.62</v>
      </c>
    </row>
    <row r="117" spans="1:8">
      <c r="A117" s="356"/>
      <c r="B117" s="100" t="s">
        <v>462</v>
      </c>
      <c r="C117" s="314" t="s">
        <v>491</v>
      </c>
      <c r="D117" s="314"/>
      <c r="E117" s="314"/>
      <c r="F117" s="314"/>
      <c r="G117" s="314"/>
      <c r="H117" s="101">
        <f>92.79+25.53</f>
        <v>118.32000000000001</v>
      </c>
    </row>
    <row r="118" spans="1:8">
      <c r="A118" s="357"/>
      <c r="B118" s="87"/>
      <c r="C118" s="319" t="s">
        <v>177</v>
      </c>
      <c r="D118" s="319"/>
      <c r="E118" s="319"/>
      <c r="F118" s="319"/>
      <c r="G118" s="319"/>
      <c r="H118" s="96">
        <f>SUM(H113:H117)</f>
        <v>169.55</v>
      </c>
    </row>
    <row r="119" spans="1:8">
      <c r="A119" s="338" t="str">
        <f>'PLANILHA ORÇAMENTARIA'!A33</f>
        <v>2.4.2</v>
      </c>
      <c r="B119" s="92" t="str">
        <f>'PLANILHA ORÇAMENTARIA'!B33</f>
        <v>DEM-PIS-010</v>
      </c>
      <c r="C119" s="93" t="str">
        <f>'PLANILHA ORÇAMENTARIA'!C33</f>
        <v>SETOP</v>
      </c>
      <c r="D119" s="318" t="str">
        <f>'PLANILHA ORÇAMENTARIA'!D33</f>
        <v>Demolição de piso cerâmico ou ladrilho hidráulico, inclusive afastamento</v>
      </c>
      <c r="E119" s="318"/>
      <c r="F119" s="318"/>
      <c r="G119" s="91" t="str">
        <f>'PLANILHA ORÇAMENTARIA'!E33</f>
        <v>m²</v>
      </c>
      <c r="H119" s="94">
        <f>H154</f>
        <v>1129.4400000000003</v>
      </c>
    </row>
    <row r="120" spans="1:8">
      <c r="A120" s="339"/>
      <c r="B120" s="100" t="s">
        <v>428</v>
      </c>
      <c r="C120" s="314" t="s">
        <v>491</v>
      </c>
      <c r="D120" s="314"/>
      <c r="E120" s="314"/>
      <c r="F120" s="314"/>
      <c r="G120" s="314"/>
      <c r="H120" s="101">
        <v>39</v>
      </c>
    </row>
    <row r="121" spans="1:8">
      <c r="A121" s="339"/>
      <c r="B121" s="100" t="s">
        <v>430</v>
      </c>
      <c r="C121" s="314" t="s">
        <v>491</v>
      </c>
      <c r="D121" s="314"/>
      <c r="E121" s="314"/>
      <c r="F121" s="314"/>
      <c r="G121" s="314"/>
      <c r="H121" s="101">
        <v>39</v>
      </c>
    </row>
    <row r="122" spans="1:8">
      <c r="A122" s="339"/>
      <c r="B122" s="100" t="s">
        <v>431</v>
      </c>
      <c r="C122" s="314" t="s">
        <v>491</v>
      </c>
      <c r="D122" s="314"/>
      <c r="E122" s="314"/>
      <c r="F122" s="314"/>
      <c r="G122" s="314"/>
      <c r="H122" s="101">
        <v>44.1</v>
      </c>
    </row>
    <row r="123" spans="1:8">
      <c r="A123" s="339"/>
      <c r="B123" s="100" t="s">
        <v>411</v>
      </c>
      <c r="C123" s="314" t="s">
        <v>491</v>
      </c>
      <c r="D123" s="314"/>
      <c r="E123" s="314"/>
      <c r="F123" s="314"/>
      <c r="G123" s="314"/>
      <c r="H123" s="101">
        <v>36</v>
      </c>
    </row>
    <row r="124" spans="1:8">
      <c r="A124" s="339"/>
      <c r="B124" s="100" t="s">
        <v>414</v>
      </c>
      <c r="C124" s="314" t="s">
        <v>491</v>
      </c>
      <c r="D124" s="314"/>
      <c r="E124" s="314"/>
      <c r="F124" s="314"/>
      <c r="G124" s="314"/>
      <c r="H124" s="101">
        <v>39</v>
      </c>
    </row>
    <row r="125" spans="1:8">
      <c r="A125" s="339"/>
      <c r="B125" s="100" t="s">
        <v>432</v>
      </c>
      <c r="C125" s="314" t="s">
        <v>491</v>
      </c>
      <c r="D125" s="314"/>
      <c r="E125" s="314"/>
      <c r="F125" s="314"/>
      <c r="G125" s="314"/>
      <c r="H125" s="101">
        <v>39</v>
      </c>
    </row>
    <row r="126" spans="1:8">
      <c r="A126" s="339"/>
      <c r="B126" s="100" t="s">
        <v>413</v>
      </c>
      <c r="C126" s="314" t="s">
        <v>491</v>
      </c>
      <c r="D126" s="314"/>
      <c r="E126" s="314"/>
      <c r="F126" s="314"/>
      <c r="G126" s="314"/>
      <c r="H126" s="101">
        <v>39</v>
      </c>
    </row>
    <row r="127" spans="1:8">
      <c r="A127" s="339"/>
      <c r="B127" s="100" t="s">
        <v>433</v>
      </c>
      <c r="C127" s="314" t="s">
        <v>491</v>
      </c>
      <c r="D127" s="314"/>
      <c r="E127" s="314"/>
      <c r="F127" s="314"/>
      <c r="G127" s="314"/>
      <c r="H127" s="101">
        <v>39</v>
      </c>
    </row>
    <row r="128" spans="1:8">
      <c r="A128" s="339"/>
      <c r="B128" s="100" t="s">
        <v>429</v>
      </c>
      <c r="C128" s="314" t="s">
        <v>491</v>
      </c>
      <c r="D128" s="314"/>
      <c r="E128" s="314"/>
      <c r="F128" s="314"/>
      <c r="G128" s="314"/>
      <c r="H128" s="101">
        <v>39</v>
      </c>
    </row>
    <row r="129" spans="1:8">
      <c r="A129" s="339"/>
      <c r="B129" s="100" t="s">
        <v>449</v>
      </c>
      <c r="C129" s="314" t="s">
        <v>491</v>
      </c>
      <c r="D129" s="314"/>
      <c r="E129" s="314"/>
      <c r="F129" s="314"/>
      <c r="G129" s="314"/>
      <c r="H129" s="101">
        <v>18.600000000000001</v>
      </c>
    </row>
    <row r="130" spans="1:8">
      <c r="A130" s="339"/>
      <c r="B130" s="100" t="s">
        <v>450</v>
      </c>
      <c r="C130" s="314" t="s">
        <v>491</v>
      </c>
      <c r="D130" s="314"/>
      <c r="E130" s="314"/>
      <c r="F130" s="314"/>
      <c r="G130" s="314"/>
      <c r="H130" s="101">
        <v>14.67</v>
      </c>
    </row>
    <row r="131" spans="1:8">
      <c r="A131" s="339"/>
      <c r="B131" s="100" t="s">
        <v>451</v>
      </c>
      <c r="C131" s="314" t="s">
        <v>491</v>
      </c>
      <c r="D131" s="314"/>
      <c r="E131" s="314"/>
      <c r="F131" s="314"/>
      <c r="G131" s="314"/>
      <c r="H131" s="101">
        <v>3.34</v>
      </c>
    </row>
    <row r="132" spans="1:8">
      <c r="A132" s="339"/>
      <c r="B132" s="100" t="s">
        <v>426</v>
      </c>
      <c r="C132" s="314" t="s">
        <v>491</v>
      </c>
      <c r="D132" s="314"/>
      <c r="E132" s="314"/>
      <c r="F132" s="314"/>
      <c r="G132" s="314"/>
      <c r="H132" s="101">
        <v>23.8</v>
      </c>
    </row>
    <row r="133" spans="1:8">
      <c r="A133" s="339"/>
      <c r="B133" s="100" t="s">
        <v>434</v>
      </c>
      <c r="C133" s="314" t="s">
        <v>491</v>
      </c>
      <c r="D133" s="314"/>
      <c r="E133" s="314"/>
      <c r="F133" s="314"/>
      <c r="G133" s="314"/>
      <c r="H133" s="101">
        <v>18</v>
      </c>
    </row>
    <row r="134" spans="1:8">
      <c r="A134" s="339"/>
      <c r="B134" s="100" t="s">
        <v>435</v>
      </c>
      <c r="C134" s="314" t="s">
        <v>491</v>
      </c>
      <c r="D134" s="314"/>
      <c r="E134" s="314"/>
      <c r="F134" s="314"/>
      <c r="G134" s="314"/>
      <c r="H134" s="101">
        <v>30.36</v>
      </c>
    </row>
    <row r="135" spans="1:8">
      <c r="A135" s="339"/>
      <c r="B135" s="100" t="s">
        <v>452</v>
      </c>
      <c r="C135" s="314" t="s">
        <v>491</v>
      </c>
      <c r="D135" s="314"/>
      <c r="E135" s="314"/>
      <c r="F135" s="314"/>
      <c r="G135" s="314"/>
      <c r="H135" s="101">
        <v>4.79</v>
      </c>
    </row>
    <row r="136" spans="1:8">
      <c r="A136" s="339"/>
      <c r="B136" s="100" t="s">
        <v>453</v>
      </c>
      <c r="C136" s="314" t="s">
        <v>491</v>
      </c>
      <c r="D136" s="314"/>
      <c r="E136" s="314"/>
      <c r="F136" s="314"/>
      <c r="G136" s="314"/>
      <c r="H136" s="101">
        <v>31.06</v>
      </c>
    </row>
    <row r="137" spans="1:8">
      <c r="A137" s="339"/>
      <c r="B137" s="100" t="s">
        <v>396</v>
      </c>
      <c r="C137" s="314" t="s">
        <v>491</v>
      </c>
      <c r="D137" s="314"/>
      <c r="E137" s="314"/>
      <c r="F137" s="314"/>
      <c r="G137" s="314"/>
      <c r="H137" s="101">
        <v>39.380000000000003</v>
      </c>
    </row>
    <row r="138" spans="1:8">
      <c r="A138" s="339"/>
      <c r="B138" s="100" t="s">
        <v>454</v>
      </c>
      <c r="C138" s="314" t="s">
        <v>491</v>
      </c>
      <c r="D138" s="314"/>
      <c r="E138" s="314"/>
      <c r="F138" s="314"/>
      <c r="G138" s="314"/>
      <c r="H138" s="101">
        <v>7.69</v>
      </c>
    </row>
    <row r="139" spans="1:8">
      <c r="A139" s="339"/>
      <c r="B139" s="100" t="s">
        <v>439</v>
      </c>
      <c r="C139" s="314" t="s">
        <v>491</v>
      </c>
      <c r="D139" s="314"/>
      <c r="E139" s="314"/>
      <c r="F139" s="314"/>
      <c r="G139" s="314"/>
      <c r="H139" s="101">
        <v>6.93</v>
      </c>
    </row>
    <row r="140" spans="1:8">
      <c r="A140" s="339"/>
      <c r="B140" s="100" t="s">
        <v>455</v>
      </c>
      <c r="C140" s="314" t="s">
        <v>491</v>
      </c>
      <c r="D140" s="314"/>
      <c r="E140" s="314"/>
      <c r="F140" s="314"/>
      <c r="G140" s="314"/>
      <c r="H140" s="101">
        <v>6.93</v>
      </c>
    </row>
    <row r="141" spans="1:8">
      <c r="A141" s="339"/>
      <c r="B141" s="100" t="s">
        <v>441</v>
      </c>
      <c r="C141" s="314" t="s">
        <v>491</v>
      </c>
      <c r="D141" s="314"/>
      <c r="E141" s="314"/>
      <c r="F141" s="314"/>
      <c r="G141" s="314"/>
      <c r="H141" s="101">
        <v>4.09</v>
      </c>
    </row>
    <row r="142" spans="1:8">
      <c r="A142" s="339"/>
      <c r="B142" s="100" t="s">
        <v>456</v>
      </c>
      <c r="C142" s="314" t="s">
        <v>491</v>
      </c>
      <c r="D142" s="314"/>
      <c r="E142" s="314"/>
      <c r="F142" s="314"/>
      <c r="G142" s="314"/>
      <c r="H142" s="101">
        <v>61.6</v>
      </c>
    </row>
    <row r="143" spans="1:8">
      <c r="A143" s="339"/>
      <c r="B143" s="100" t="s">
        <v>436</v>
      </c>
      <c r="C143" s="314" t="s">
        <v>491</v>
      </c>
      <c r="D143" s="314"/>
      <c r="E143" s="314"/>
      <c r="F143" s="314"/>
      <c r="G143" s="314"/>
      <c r="H143" s="101">
        <v>44.11</v>
      </c>
    </row>
    <row r="144" spans="1:8">
      <c r="A144" s="339"/>
      <c r="B144" s="100" t="s">
        <v>437</v>
      </c>
      <c r="C144" s="314" t="s">
        <v>491</v>
      </c>
      <c r="D144" s="314"/>
      <c r="E144" s="314"/>
      <c r="F144" s="314"/>
      <c r="G144" s="314"/>
      <c r="H144" s="101">
        <v>30.3</v>
      </c>
    </row>
    <row r="145" spans="1:8">
      <c r="A145" s="339"/>
      <c r="B145" s="100" t="s">
        <v>417</v>
      </c>
      <c r="C145" s="314" t="s">
        <v>491</v>
      </c>
      <c r="D145" s="314"/>
      <c r="E145" s="314"/>
      <c r="F145" s="314"/>
      <c r="G145" s="314"/>
      <c r="H145" s="101">
        <v>45.09</v>
      </c>
    </row>
    <row r="146" spans="1:8">
      <c r="A146" s="339"/>
      <c r="B146" s="100" t="s">
        <v>457</v>
      </c>
      <c r="C146" s="314" t="s">
        <v>491</v>
      </c>
      <c r="D146" s="314"/>
      <c r="E146" s="314"/>
      <c r="F146" s="314"/>
      <c r="G146" s="314"/>
      <c r="H146" s="101">
        <v>6</v>
      </c>
    </row>
    <row r="147" spans="1:8">
      <c r="A147" s="339"/>
      <c r="B147" s="100" t="s">
        <v>458</v>
      </c>
      <c r="C147" s="314" t="s">
        <v>491</v>
      </c>
      <c r="D147" s="314"/>
      <c r="E147" s="314"/>
      <c r="F147" s="314"/>
      <c r="G147" s="314"/>
      <c r="H147" s="101">
        <v>7.5</v>
      </c>
    </row>
    <row r="148" spans="1:8">
      <c r="A148" s="339"/>
      <c r="B148" s="100" t="s">
        <v>418</v>
      </c>
      <c r="C148" s="314" t="s">
        <v>491</v>
      </c>
      <c r="D148" s="314"/>
      <c r="E148" s="314"/>
      <c r="F148" s="314"/>
      <c r="G148" s="314"/>
      <c r="H148" s="101">
        <f>9.45+5.7</f>
        <v>15.149999999999999</v>
      </c>
    </row>
    <row r="149" spans="1:8">
      <c r="A149" s="339"/>
      <c r="B149" s="100" t="s">
        <v>459</v>
      </c>
      <c r="C149" s="314" t="s">
        <v>491</v>
      </c>
      <c r="D149" s="314"/>
      <c r="E149" s="314"/>
      <c r="F149" s="314"/>
      <c r="G149" s="314"/>
      <c r="H149" s="101">
        <v>4.2</v>
      </c>
    </row>
    <row r="150" spans="1:8">
      <c r="A150" s="339"/>
      <c r="B150" s="100" t="s">
        <v>460</v>
      </c>
      <c r="C150" s="314" t="s">
        <v>491</v>
      </c>
      <c r="D150" s="314"/>
      <c r="E150" s="314"/>
      <c r="F150" s="314"/>
      <c r="G150" s="314"/>
      <c r="H150" s="101">
        <v>122.82</v>
      </c>
    </row>
    <row r="151" spans="1:8">
      <c r="A151" s="339"/>
      <c r="B151" s="100" t="s">
        <v>461</v>
      </c>
      <c r="C151" s="314" t="s">
        <v>491</v>
      </c>
      <c r="D151" s="314"/>
      <c r="E151" s="314"/>
      <c r="F151" s="314"/>
      <c r="G151" s="314"/>
      <c r="H151" s="101">
        <v>96.99</v>
      </c>
    </row>
    <row r="152" spans="1:8">
      <c r="A152" s="339"/>
      <c r="B152" s="100" t="s">
        <v>492</v>
      </c>
      <c r="C152" s="314" t="s">
        <v>491</v>
      </c>
      <c r="D152" s="314"/>
      <c r="E152" s="314"/>
      <c r="F152" s="314"/>
      <c r="G152" s="314"/>
      <c r="H152" s="101">
        <v>14.62</v>
      </c>
    </row>
    <row r="153" spans="1:8">
      <c r="A153" s="339"/>
      <c r="B153" s="100" t="s">
        <v>462</v>
      </c>
      <c r="C153" s="314" t="s">
        <v>491</v>
      </c>
      <c r="D153" s="314"/>
      <c r="E153" s="314"/>
      <c r="F153" s="314"/>
      <c r="G153" s="314"/>
      <c r="H153" s="101">
        <f>92.79+25.53</f>
        <v>118.32000000000001</v>
      </c>
    </row>
    <row r="154" spans="1:8">
      <c r="A154" s="340"/>
      <c r="B154" s="140"/>
      <c r="C154" s="319" t="s">
        <v>177</v>
      </c>
      <c r="D154" s="319"/>
      <c r="E154" s="319"/>
      <c r="F154" s="319"/>
      <c r="G154" s="319"/>
      <c r="H154" s="96">
        <f>SUM(H120:H153)</f>
        <v>1129.4400000000003</v>
      </c>
    </row>
    <row r="155" spans="1:8">
      <c r="A155" s="76" t="str">
        <f>'PLANILHA ORÇAMENTARIA'!A34</f>
        <v>2.5</v>
      </c>
      <c r="B155" s="259"/>
      <c r="C155" s="260"/>
      <c r="D155" s="268" t="s">
        <v>61</v>
      </c>
      <c r="E155" s="269"/>
      <c r="F155" s="269"/>
      <c r="G155" s="269"/>
      <c r="H155" s="270"/>
    </row>
    <row r="156" spans="1:8">
      <c r="A156" s="338" t="str">
        <f>'PLANILHA ORÇAMENTARIA'!A35</f>
        <v>2.5.1</v>
      </c>
      <c r="B156" s="92" t="str">
        <f>'PLANILHA ORÇAMENTARIA'!B35</f>
        <v>DEM-BAN-005</v>
      </c>
      <c r="C156" s="93" t="str">
        <f>'PLANILHA ORÇAMENTARIA'!C35</f>
        <v>SETOP</v>
      </c>
      <c r="D156" s="318" t="str">
        <f>'PLANILHA ORÇAMENTARIA'!D35</f>
        <v>Remoção de bancada de pedra (mármore, granito, ardósia, marmorite, etc.)</v>
      </c>
      <c r="E156" s="318"/>
      <c r="F156" s="318"/>
      <c r="G156" s="91" t="str">
        <f>'PLANILHA ORÇAMENTARIA'!E35</f>
        <v>m²</v>
      </c>
      <c r="H156" s="94">
        <f>H158</f>
        <v>1.05</v>
      </c>
    </row>
    <row r="157" spans="1:8">
      <c r="A157" s="339"/>
      <c r="B157" s="100" t="s">
        <v>435</v>
      </c>
      <c r="C157" s="314" t="s">
        <v>502</v>
      </c>
      <c r="D157" s="314"/>
      <c r="E157" s="314"/>
      <c r="F157" s="314"/>
      <c r="G157" s="314"/>
      <c r="H157" s="101">
        <f>(0.5*1.1)+(0.25*2)</f>
        <v>1.05</v>
      </c>
    </row>
    <row r="158" spans="1:8">
      <c r="A158" s="340"/>
      <c r="B158" s="87"/>
      <c r="C158" s="319" t="s">
        <v>177</v>
      </c>
      <c r="D158" s="319"/>
      <c r="E158" s="319"/>
      <c r="F158" s="319"/>
      <c r="G158" s="319"/>
      <c r="H158" s="96">
        <f>SUM(H157:H157)</f>
        <v>1.05</v>
      </c>
    </row>
    <row r="159" spans="1:8">
      <c r="A159" s="329" t="str">
        <f>'PLANILHA ORÇAMENTARIA'!A36</f>
        <v>2.5.2</v>
      </c>
      <c r="B159" s="92" t="str">
        <f>'PLANILHA ORÇAMENTARIA'!B36</f>
        <v>DEM-LOU-005</v>
      </c>
      <c r="C159" s="93" t="str">
        <f>'PLANILHA ORÇAMENTARIA'!C36</f>
        <v>SETOP</v>
      </c>
      <c r="D159" s="318" t="str">
        <f>'PLANILHA ORÇAMENTARIA'!D36</f>
        <v>Remoção de louças (lavatório, banheira, pia, vaso sanitário, tanque)</v>
      </c>
      <c r="E159" s="318"/>
      <c r="F159" s="318"/>
      <c r="G159" s="91" t="str">
        <f>'PLANILHA ORÇAMENTARIA'!E36</f>
        <v>un.</v>
      </c>
      <c r="H159" s="94">
        <f>H166</f>
        <v>17</v>
      </c>
    </row>
    <row r="160" spans="1:8">
      <c r="A160" s="330"/>
      <c r="B160" s="100" t="s">
        <v>493</v>
      </c>
      <c r="C160" s="314" t="s">
        <v>494</v>
      </c>
      <c r="D160" s="314"/>
      <c r="E160" s="314"/>
      <c r="F160" s="314"/>
      <c r="G160" s="314"/>
      <c r="H160" s="101">
        <v>2</v>
      </c>
    </row>
    <row r="161" spans="1:8">
      <c r="A161" s="330"/>
      <c r="B161" s="100" t="s">
        <v>495</v>
      </c>
      <c r="C161" s="314" t="s">
        <v>498</v>
      </c>
      <c r="D161" s="314"/>
      <c r="E161" s="314"/>
      <c r="F161" s="314"/>
      <c r="G161" s="314"/>
      <c r="H161" s="101">
        <v>7</v>
      </c>
    </row>
    <row r="162" spans="1:8">
      <c r="A162" s="330"/>
      <c r="B162" s="100" t="s">
        <v>452</v>
      </c>
      <c r="C162" s="314" t="s">
        <v>496</v>
      </c>
      <c r="D162" s="314"/>
      <c r="E162" s="314"/>
      <c r="F162" s="314"/>
      <c r="G162" s="314"/>
      <c r="H162" s="101">
        <v>1</v>
      </c>
    </row>
    <row r="163" spans="1:8">
      <c r="A163" s="330"/>
      <c r="B163" s="100" t="s">
        <v>497</v>
      </c>
      <c r="C163" s="314" t="s">
        <v>499</v>
      </c>
      <c r="D163" s="314"/>
      <c r="E163" s="314"/>
      <c r="F163" s="314"/>
      <c r="G163" s="314"/>
      <c r="H163" s="101">
        <v>4</v>
      </c>
    </row>
    <row r="164" spans="1:8">
      <c r="A164" s="330"/>
      <c r="B164" s="100" t="s">
        <v>418</v>
      </c>
      <c r="C164" s="314" t="s">
        <v>500</v>
      </c>
      <c r="D164" s="314"/>
      <c r="E164" s="314"/>
      <c r="F164" s="314"/>
      <c r="G164" s="314"/>
      <c r="H164" s="101">
        <v>1</v>
      </c>
    </row>
    <row r="165" spans="1:8">
      <c r="A165" s="330"/>
      <c r="B165" s="100" t="s">
        <v>417</v>
      </c>
      <c r="C165" s="314" t="s">
        <v>501</v>
      </c>
      <c r="D165" s="314"/>
      <c r="E165" s="314"/>
      <c r="F165" s="314"/>
      <c r="G165" s="314"/>
      <c r="H165" s="101">
        <v>2</v>
      </c>
    </row>
    <row r="166" spans="1:8">
      <c r="A166" s="331"/>
      <c r="B166" s="87"/>
      <c r="C166" s="319" t="s">
        <v>177</v>
      </c>
      <c r="D166" s="319"/>
      <c r="E166" s="319"/>
      <c r="F166" s="319"/>
      <c r="G166" s="319"/>
      <c r="H166" s="96">
        <f>SUM(H160:H165)</f>
        <v>17</v>
      </c>
    </row>
    <row r="167" spans="1:8">
      <c r="A167" s="329" t="str">
        <f>'PLANILHA ORÇAMENTARIA'!A37</f>
        <v>2.5.3</v>
      </c>
      <c r="B167" s="92" t="str">
        <f>'PLANILHA ORÇAMENTARIA'!B37</f>
        <v>ED-48450</v>
      </c>
      <c r="C167" s="93" t="str">
        <f>'PLANILHA ORÇAMENTARIA'!C37</f>
        <v>SETOP</v>
      </c>
      <c r="D167" s="318" t="str">
        <f>'PLANILHA ORÇAMENTARIA'!D37</f>
        <v>Remoção de divisória de pedras (mármore, granito, ardósia, marmorite), inclusve afastamento</v>
      </c>
      <c r="E167" s="318"/>
      <c r="F167" s="318"/>
      <c r="G167" s="91" t="str">
        <f>'PLANILHA ORÇAMENTARIA'!E37</f>
        <v>m²</v>
      </c>
      <c r="H167" s="94">
        <f>H170</f>
        <v>7.56</v>
      </c>
    </row>
    <row r="168" spans="1:8">
      <c r="A168" s="330"/>
      <c r="B168" s="100" t="s">
        <v>439</v>
      </c>
      <c r="C168" s="314" t="s">
        <v>504</v>
      </c>
      <c r="D168" s="314"/>
      <c r="E168" s="314"/>
      <c r="F168" s="314"/>
      <c r="G168" s="314"/>
      <c r="H168" s="101">
        <f>(((1.5+2.2)*1.8)-(0.8*1.8*2))</f>
        <v>3.78</v>
      </c>
    </row>
    <row r="169" spans="1:8">
      <c r="A169" s="330"/>
      <c r="B169" s="100" t="s">
        <v>503</v>
      </c>
      <c r="C169" s="314" t="s">
        <v>504</v>
      </c>
      <c r="D169" s="314"/>
      <c r="E169" s="314"/>
      <c r="F169" s="314"/>
      <c r="G169" s="314"/>
      <c r="H169" s="101">
        <f>(((1.5+2.2)*1.8)-(0.8*1.8*2))</f>
        <v>3.78</v>
      </c>
    </row>
    <row r="170" spans="1:8">
      <c r="A170" s="331"/>
      <c r="B170" s="87"/>
      <c r="C170" s="319" t="s">
        <v>177</v>
      </c>
      <c r="D170" s="319"/>
      <c r="E170" s="319"/>
      <c r="F170" s="319"/>
      <c r="G170" s="319"/>
      <c r="H170" s="96">
        <f>SUM(H168:H169)</f>
        <v>7.56</v>
      </c>
    </row>
    <row r="171" spans="1:8" ht="14.25" customHeight="1">
      <c r="A171" s="326"/>
      <c r="B171" s="327"/>
      <c r="C171" s="327"/>
      <c r="D171" s="327"/>
      <c r="E171" s="327"/>
      <c r="F171" s="327"/>
      <c r="G171" s="327">
        <f>SUM(H32:H38)+SUM(H40:H57)+SUM(H72:H110)+SUM(H154:H154)+SUM(H158:H166)</f>
        <v>6977.2874999999995</v>
      </c>
      <c r="H171" s="328"/>
    </row>
    <row r="172" spans="1:8">
      <c r="A172" s="73">
        <f>'PLANILHA ORÇAMENTARIA'!A39</f>
        <v>3</v>
      </c>
      <c r="B172" s="221"/>
      <c r="C172" s="221"/>
      <c r="D172" s="221" t="str">
        <f>'PLANILHA ORÇAMENTARIA'!D39:H39</f>
        <v>MOVIMENTAÇÃO DE TERRA</v>
      </c>
      <c r="E172" s="221"/>
      <c r="F172" s="221"/>
      <c r="G172" s="221"/>
      <c r="H172" s="222"/>
    </row>
    <row r="173" spans="1:8" ht="27" customHeight="1">
      <c r="A173" s="332" t="str">
        <f>'PLANILHA ORÇAMENTARIA'!A40</f>
        <v>3.1</v>
      </c>
      <c r="B173" s="92" t="str">
        <f>'PLANILHA ORÇAMENTARIA'!B40</f>
        <v>RO-40118</v>
      </c>
      <c r="C173" s="93" t="str">
        <f>'PLANILHA ORÇAMENTARIA'!C40</f>
        <v>SETOP</v>
      </c>
      <c r="D173" s="318" t="str">
        <f>'PLANILHA ORÇAMENTARIA'!D40</f>
        <v>Remoção, transporte e espalhamento de solo. Distância média de transporte &lt;= 200 m</v>
      </c>
      <c r="E173" s="318"/>
      <c r="F173" s="318"/>
      <c r="G173" s="91" t="str">
        <f>'PLANILHA ORÇAMENTARIA'!E40</f>
        <v>m³</v>
      </c>
      <c r="H173" s="94">
        <f>H175</f>
        <v>78.400000000000006</v>
      </c>
    </row>
    <row r="174" spans="1:8">
      <c r="A174" s="333"/>
      <c r="B174" s="100" t="s">
        <v>389</v>
      </c>
      <c r="C174" s="314" t="s">
        <v>390</v>
      </c>
      <c r="D174" s="314"/>
      <c r="E174" s="314"/>
      <c r="F174" s="314"/>
      <c r="G174" s="314"/>
      <c r="H174" s="101">
        <f>32*4.9*0.5</f>
        <v>78.400000000000006</v>
      </c>
    </row>
    <row r="175" spans="1:8">
      <c r="A175" s="334"/>
      <c r="B175" s="100"/>
      <c r="C175" s="319" t="s">
        <v>177</v>
      </c>
      <c r="D175" s="319"/>
      <c r="E175" s="319"/>
      <c r="F175" s="319"/>
      <c r="G175" s="319"/>
      <c r="H175" s="96">
        <f>SUM(H174:H174)</f>
        <v>78.400000000000006</v>
      </c>
    </row>
    <row r="176" spans="1:8" ht="24.75" customHeight="1">
      <c r="A176" s="320" t="str">
        <f>'PLANILHA ORÇAMENTARIA'!A41</f>
        <v>3.2</v>
      </c>
      <c r="B176" s="92" t="str">
        <f>'PLANILHA ORÇAMENTARIA'!B41</f>
        <v>TER-ATE-010</v>
      </c>
      <c r="C176" s="93" t="str">
        <f>'PLANILHA ORÇAMENTARIA'!C41</f>
        <v>SETOP</v>
      </c>
      <c r="D176" s="318" t="str">
        <f>'PLANILHA ORÇAMENTARIA'!D41</f>
        <v>Aterro compactado com placa vibratória</v>
      </c>
      <c r="E176" s="318"/>
      <c r="F176" s="318"/>
      <c r="G176" s="91" t="str">
        <f>'PLANILHA ORÇAMENTARIA'!E41</f>
        <v>m³</v>
      </c>
      <c r="H176" s="94">
        <f>H178</f>
        <v>78.400000000000006</v>
      </c>
    </row>
    <row r="177" spans="1:15">
      <c r="A177" s="321"/>
      <c r="B177" s="100" t="s">
        <v>389</v>
      </c>
      <c r="C177" s="314" t="s">
        <v>390</v>
      </c>
      <c r="D177" s="314"/>
      <c r="E177" s="314"/>
      <c r="F177" s="314"/>
      <c r="G177" s="314"/>
      <c r="H177" s="101">
        <f>32*4.9*0.5</f>
        <v>78.400000000000006</v>
      </c>
    </row>
    <row r="178" spans="1:15">
      <c r="A178" s="322"/>
      <c r="B178" s="87"/>
      <c r="C178" s="319" t="s">
        <v>177</v>
      </c>
      <c r="D178" s="319"/>
      <c r="E178" s="319"/>
      <c r="F178" s="319"/>
      <c r="G178" s="319"/>
      <c r="H178" s="96">
        <f>SUM(H177:H177)</f>
        <v>78.400000000000006</v>
      </c>
    </row>
    <row r="179" spans="1:15">
      <c r="A179" s="326"/>
      <c r="B179" s="327"/>
      <c r="C179" s="327"/>
      <c r="D179" s="327"/>
      <c r="E179" s="327"/>
      <c r="F179" s="327"/>
      <c r="G179" s="327"/>
      <c r="H179" s="328"/>
    </row>
    <row r="180" spans="1:15">
      <c r="A180" s="73">
        <f>'PLANILHA ORÇAMENTARIA'!A43</f>
        <v>4</v>
      </c>
      <c r="B180" s="112"/>
      <c r="C180" s="112"/>
      <c r="D180" s="112" t="s">
        <v>18</v>
      </c>
      <c r="E180" s="112"/>
      <c r="F180" s="112"/>
      <c r="G180" s="112"/>
      <c r="H180" s="113"/>
    </row>
    <row r="181" spans="1:15">
      <c r="A181" s="76" t="str">
        <f>'PLANILHA ORÇAMENTARIA'!A44</f>
        <v>4.1</v>
      </c>
      <c r="B181" s="259"/>
      <c r="C181" s="260"/>
      <c r="D181" s="268" t="s">
        <v>19</v>
      </c>
      <c r="E181" s="269"/>
      <c r="F181" s="269"/>
      <c r="G181" s="269"/>
      <c r="H181" s="270"/>
    </row>
    <row r="182" spans="1:15">
      <c r="A182" s="338" t="str">
        <f>'PLANILHA ORÇAMENTARIA'!A45</f>
        <v>4.1.1</v>
      </c>
      <c r="B182" s="92">
        <f>'PLANILHA ORÇAMENTARIA'!B45</f>
        <v>93182</v>
      </c>
      <c r="C182" s="93" t="str">
        <f>'PLANILHA ORÇAMENTARIA'!C45</f>
        <v>SINAPI</v>
      </c>
      <c r="D182" s="318" t="str">
        <f>'PLANILHA ORÇAMENTARIA'!D45</f>
        <v>Verga pré-moldada em concreto armado fck = 15 mpa - 10x10cm, para janelas.</v>
      </c>
      <c r="E182" s="318"/>
      <c r="F182" s="318"/>
      <c r="G182" s="91" t="str">
        <f>'PLANILHA ORÇAMENTARIA'!E45</f>
        <v>m</v>
      </c>
      <c r="H182" s="94">
        <f>H185</f>
        <v>1</v>
      </c>
    </row>
    <row r="183" spans="1:15">
      <c r="A183" s="339"/>
      <c r="B183" s="100" t="s">
        <v>459</v>
      </c>
      <c r="C183" s="314" t="s">
        <v>537</v>
      </c>
      <c r="D183" s="314"/>
      <c r="E183" s="314"/>
      <c r="F183" s="314"/>
      <c r="G183" s="314"/>
      <c r="H183" s="101">
        <f>1*0.5</f>
        <v>0.5</v>
      </c>
    </row>
    <row r="184" spans="1:15">
      <c r="A184" s="339"/>
      <c r="B184" s="100" t="s">
        <v>506</v>
      </c>
      <c r="C184" s="314" t="s">
        <v>537</v>
      </c>
      <c r="D184" s="314"/>
      <c r="E184" s="314"/>
      <c r="F184" s="314"/>
      <c r="G184" s="314"/>
      <c r="H184" s="101">
        <f>1*0.5</f>
        <v>0.5</v>
      </c>
    </row>
    <row r="185" spans="1:15">
      <c r="A185" s="340"/>
      <c r="B185" s="87"/>
      <c r="C185" s="319" t="s">
        <v>177</v>
      </c>
      <c r="D185" s="319"/>
      <c r="E185" s="319"/>
      <c r="F185" s="319"/>
      <c r="G185" s="319"/>
      <c r="H185" s="96">
        <f>SUM(H183:H184)</f>
        <v>1</v>
      </c>
    </row>
    <row r="186" spans="1:15">
      <c r="A186" s="329" t="str">
        <f>'PLANILHA ORÇAMENTARIA'!A46</f>
        <v>4.1.2</v>
      </c>
      <c r="B186" s="92">
        <f>'PLANILHA ORÇAMENTARIA'!B46</f>
        <v>93194</v>
      </c>
      <c r="C186" s="93" t="str">
        <f>'PLANILHA ORÇAMENTARIA'!C46</f>
        <v>SINAPI</v>
      </c>
      <c r="D186" s="318" t="str">
        <f>'PLANILHA ORÇAMENTARIA'!D46</f>
        <v>Contraverga pré-moldada em concreto armado fck = 15 mpa - 10x10cm.</v>
      </c>
      <c r="E186" s="318"/>
      <c r="F186" s="318"/>
      <c r="G186" s="91" t="str">
        <f>'PLANILHA ORÇAMENTARIA'!E46</f>
        <v>m</v>
      </c>
      <c r="H186" s="94">
        <f>H189</f>
        <v>1</v>
      </c>
    </row>
    <row r="187" spans="1:15">
      <c r="A187" s="330"/>
      <c r="B187" s="100" t="s">
        <v>459</v>
      </c>
      <c r="C187" s="314" t="s">
        <v>537</v>
      </c>
      <c r="D187" s="314"/>
      <c r="E187" s="314"/>
      <c r="F187" s="314"/>
      <c r="G187" s="314"/>
      <c r="H187" s="101">
        <f>1*0.5</f>
        <v>0.5</v>
      </c>
    </row>
    <row r="188" spans="1:15">
      <c r="A188" s="330"/>
      <c r="B188" s="100" t="s">
        <v>506</v>
      </c>
      <c r="C188" s="314" t="s">
        <v>537</v>
      </c>
      <c r="D188" s="314"/>
      <c r="E188" s="314"/>
      <c r="F188" s="314"/>
      <c r="G188" s="314"/>
      <c r="H188" s="101">
        <f>1*0.5</f>
        <v>0.5</v>
      </c>
    </row>
    <row r="189" spans="1:15">
      <c r="A189" s="331"/>
      <c r="B189" s="87"/>
      <c r="C189" s="319" t="s">
        <v>177</v>
      </c>
      <c r="D189" s="319"/>
      <c r="E189" s="319"/>
      <c r="F189" s="319"/>
      <c r="G189" s="319"/>
      <c r="H189" s="96">
        <f>SUM(H187:H188)</f>
        <v>1</v>
      </c>
    </row>
    <row r="190" spans="1:15">
      <c r="A190" s="329" t="str">
        <f>'PLANILHA ORÇAMENTARIA'!A47</f>
        <v>4.1.3</v>
      </c>
      <c r="B190" s="92">
        <f>'PLANILHA ORÇAMENTARIA'!B47</f>
        <v>93184</v>
      </c>
      <c r="C190" s="93" t="str">
        <f>'PLANILHA ORÇAMENTARIA'!C47</f>
        <v>SINAPI</v>
      </c>
      <c r="D190" s="318" t="str">
        <f>'PLANILHA ORÇAMENTARIA'!D47</f>
        <v>Verga pré-moldada em concreto armado fck = 15 mpa - 10x10cm, para portas.</v>
      </c>
      <c r="E190" s="318"/>
      <c r="F190" s="318"/>
      <c r="G190" s="91" t="str">
        <f>'PLANILHA ORÇAMENTARIA'!E47</f>
        <v>m</v>
      </c>
      <c r="H190" s="94">
        <f>H195</f>
        <v>4</v>
      </c>
    </row>
    <row r="191" spans="1:15">
      <c r="A191" s="330"/>
      <c r="B191" s="100" t="s">
        <v>418</v>
      </c>
      <c r="C191" s="314" t="s">
        <v>530</v>
      </c>
      <c r="D191" s="314"/>
      <c r="E191" s="314"/>
      <c r="F191" s="314"/>
      <c r="G191" s="314"/>
      <c r="H191" s="95">
        <v>1</v>
      </c>
      <c r="J191" s="179"/>
      <c r="K191" s="128"/>
      <c r="L191" s="128"/>
      <c r="M191" s="128"/>
      <c r="N191" s="128"/>
      <c r="O191" s="128"/>
    </row>
    <row r="192" spans="1:15">
      <c r="A192" s="330"/>
      <c r="B192" s="100" t="s">
        <v>506</v>
      </c>
      <c r="C192" s="314" t="s">
        <v>530</v>
      </c>
      <c r="D192" s="314"/>
      <c r="E192" s="314"/>
      <c r="F192" s="314"/>
      <c r="G192" s="314"/>
      <c r="H192" s="95">
        <v>1</v>
      </c>
      <c r="J192" s="179"/>
      <c r="K192" s="128"/>
      <c r="L192" s="128"/>
      <c r="M192" s="128"/>
      <c r="N192" s="128"/>
      <c r="O192" s="128"/>
    </row>
    <row r="193" spans="1:15">
      <c r="A193" s="330"/>
      <c r="B193" s="100" t="s">
        <v>507</v>
      </c>
      <c r="C193" s="314" t="s">
        <v>530</v>
      </c>
      <c r="D193" s="314"/>
      <c r="E193" s="314"/>
      <c r="F193" s="314"/>
      <c r="G193" s="314"/>
      <c r="H193" s="95">
        <v>1</v>
      </c>
      <c r="J193" s="179"/>
      <c r="K193" s="128"/>
      <c r="L193" s="128"/>
      <c r="M193" s="128"/>
      <c r="N193" s="128"/>
      <c r="O193" s="128"/>
    </row>
    <row r="194" spans="1:15">
      <c r="A194" s="330"/>
      <c r="B194" s="100" t="s">
        <v>531</v>
      </c>
      <c r="C194" s="314" t="s">
        <v>530</v>
      </c>
      <c r="D194" s="314"/>
      <c r="E194" s="314"/>
      <c r="F194" s="314"/>
      <c r="G194" s="314"/>
      <c r="H194" s="95">
        <v>1</v>
      </c>
      <c r="J194" s="179"/>
      <c r="K194" s="128"/>
      <c r="L194" s="128"/>
      <c r="M194" s="128"/>
      <c r="N194" s="128"/>
      <c r="O194" s="128"/>
    </row>
    <row r="195" spans="1:15">
      <c r="A195" s="331"/>
      <c r="B195" s="87"/>
      <c r="C195" s="319" t="s">
        <v>177</v>
      </c>
      <c r="D195" s="319"/>
      <c r="E195" s="319"/>
      <c r="F195" s="319"/>
      <c r="G195" s="319"/>
      <c r="H195" s="96">
        <f>SUM(H191:H194)</f>
        <v>4</v>
      </c>
    </row>
    <row r="196" spans="1:15">
      <c r="A196" s="326"/>
      <c r="B196" s="327"/>
      <c r="C196" s="327"/>
      <c r="D196" s="327"/>
      <c r="E196" s="327"/>
      <c r="F196" s="327"/>
      <c r="G196" s="327"/>
      <c r="H196" s="328"/>
    </row>
    <row r="197" spans="1:15">
      <c r="A197" s="73">
        <f>'PLANILHA ORÇAMENTARIA'!A49</f>
        <v>5</v>
      </c>
      <c r="B197" s="112"/>
      <c r="C197" s="112"/>
      <c r="D197" s="112" t="s">
        <v>91</v>
      </c>
      <c r="E197" s="112"/>
      <c r="F197" s="112"/>
      <c r="G197" s="112"/>
      <c r="H197" s="113"/>
    </row>
    <row r="198" spans="1:15">
      <c r="A198" s="76" t="str">
        <f>'PLANILHA ORÇAMENTARIA'!A50</f>
        <v>5.1</v>
      </c>
      <c r="B198" s="259"/>
      <c r="C198" s="260"/>
      <c r="D198" s="268" t="s">
        <v>21</v>
      </c>
      <c r="E198" s="269"/>
      <c r="F198" s="269"/>
      <c r="G198" s="269"/>
      <c r="H198" s="270"/>
    </row>
    <row r="199" spans="1:15" ht="27" customHeight="1">
      <c r="A199" s="332" t="str">
        <f>'PLANILHA ORÇAMENTARIA'!A51</f>
        <v>5.1.1</v>
      </c>
      <c r="B199" s="92" t="str">
        <f>'PLANILHA ORÇAMENTARIA'!B51</f>
        <v>ALV-TIJ-030</v>
      </c>
      <c r="C199" s="93" t="str">
        <f>'PLANILHA ORÇAMENTARIA'!C51</f>
        <v>SETOP</v>
      </c>
      <c r="D199" s="318" t="str">
        <f>'PLANILHA ORÇAMENTARIA'!D51</f>
        <v>Alvenaria de vedação com tijolo cerâmico furado, esp. 14cm, para revestimento, inclusive argamassa para assentamento</v>
      </c>
      <c r="E199" s="318"/>
      <c r="F199" s="318"/>
      <c r="G199" s="91" t="str">
        <f>'PLANILHA ORÇAMENTARIA'!E51</f>
        <v>m²</v>
      </c>
      <c r="H199" s="94">
        <f>H204</f>
        <v>33.655000000000001</v>
      </c>
    </row>
    <row r="200" spans="1:15">
      <c r="A200" s="333"/>
      <c r="B200" s="100" t="s">
        <v>459</v>
      </c>
      <c r="C200" s="314" t="s">
        <v>552</v>
      </c>
      <c r="D200" s="314"/>
      <c r="E200" s="314"/>
      <c r="F200" s="314"/>
      <c r="G200" s="314"/>
      <c r="H200" s="101">
        <f>(3*2.8)-(0.8*2.1)</f>
        <v>6.7199999999999989</v>
      </c>
    </row>
    <row r="201" spans="1:15">
      <c r="A201" s="333"/>
      <c r="B201" s="100" t="s">
        <v>418</v>
      </c>
      <c r="C201" s="314" t="s">
        <v>553</v>
      </c>
      <c r="D201" s="314"/>
      <c r="E201" s="314"/>
      <c r="F201" s="314"/>
      <c r="G201" s="314"/>
      <c r="H201" s="101">
        <f>(2.05*1.1)+(1.6*2.8)</f>
        <v>6.7349999999999994</v>
      </c>
    </row>
    <row r="202" spans="1:15">
      <c r="A202" s="333"/>
      <c r="B202" s="100" t="s">
        <v>454</v>
      </c>
      <c r="C202" s="314" t="s">
        <v>554</v>
      </c>
      <c r="D202" s="314"/>
      <c r="E202" s="314"/>
      <c r="F202" s="314"/>
      <c r="G202" s="314"/>
      <c r="H202" s="101">
        <f>(1.15+0.55+0.9+2.65+1.3)*2.8</f>
        <v>18.34</v>
      </c>
    </row>
    <row r="203" spans="1:15">
      <c r="A203" s="333"/>
      <c r="B203" s="100" t="s">
        <v>646</v>
      </c>
      <c r="C203" s="314" t="s">
        <v>647</v>
      </c>
      <c r="D203" s="314"/>
      <c r="E203" s="314"/>
      <c r="F203" s="314"/>
      <c r="G203" s="314"/>
      <c r="H203" s="101">
        <f>(0.93*2)</f>
        <v>1.86</v>
      </c>
    </row>
    <row r="204" spans="1:15">
      <c r="A204" s="334"/>
      <c r="B204" s="100"/>
      <c r="C204" s="319" t="s">
        <v>177</v>
      </c>
      <c r="D204" s="319"/>
      <c r="E204" s="319"/>
      <c r="F204" s="319"/>
      <c r="G204" s="319"/>
      <c r="H204" s="96">
        <f>SUM(H200:H203)</f>
        <v>33.655000000000001</v>
      </c>
    </row>
    <row r="205" spans="1:15">
      <c r="A205" s="326"/>
      <c r="B205" s="327"/>
      <c r="C205" s="327"/>
      <c r="D205" s="327"/>
      <c r="E205" s="327"/>
      <c r="F205" s="327"/>
      <c r="G205" s="327"/>
      <c r="H205" s="328"/>
    </row>
    <row r="206" spans="1:15">
      <c r="A206" s="73">
        <f>'PLANILHA ORÇAMENTARIA'!A53</f>
        <v>6</v>
      </c>
      <c r="B206" s="112"/>
      <c r="C206" s="112"/>
      <c r="D206" s="112" t="s">
        <v>23</v>
      </c>
      <c r="E206" s="112"/>
      <c r="F206" s="112"/>
      <c r="G206" s="112"/>
      <c r="H206" s="113"/>
    </row>
    <row r="207" spans="1:15">
      <c r="A207" s="76" t="str">
        <f>'PLANILHA ORÇAMENTARIA'!A54</f>
        <v>6.1</v>
      </c>
      <c r="B207" s="259"/>
      <c r="C207" s="260"/>
      <c r="D207" s="268" t="s">
        <v>25</v>
      </c>
      <c r="E207" s="269"/>
      <c r="F207" s="269"/>
      <c r="G207" s="269"/>
      <c r="H207" s="270"/>
    </row>
    <row r="208" spans="1:15">
      <c r="A208" s="320" t="str">
        <f>'PLANILHA ORÇAMENTARIA'!A55</f>
        <v>6.1.1</v>
      </c>
      <c r="B208" s="92" t="str">
        <f>'PLANILHA ORÇAMENTARIA'!B55</f>
        <v>ESQ-POR-050</v>
      </c>
      <c r="C208" s="93" t="str">
        <f>'PLANILHA ORÇAMENTARIA'!C55</f>
        <v>SETOP</v>
      </c>
      <c r="D208" s="318" t="str">
        <f>'PLANILHA ORÇAMENTARIA'!D55</f>
        <v>Porta de abrir, madeira de lei prancheta para pintura completa 80 x 210 cm,com ferragens em ferro latonado</v>
      </c>
      <c r="E208" s="318"/>
      <c r="F208" s="318"/>
      <c r="G208" s="91" t="str">
        <f>'PLANILHA ORÇAMENTARIA'!E55</f>
        <v>un.</v>
      </c>
      <c r="H208" s="94">
        <f>H217</f>
        <v>8</v>
      </c>
    </row>
    <row r="209" spans="1:15">
      <c r="A209" s="321"/>
      <c r="B209" s="100" t="s">
        <v>771</v>
      </c>
      <c r="C209" s="314" t="s">
        <v>530</v>
      </c>
      <c r="D209" s="314"/>
      <c r="E209" s="314"/>
      <c r="F209" s="314"/>
      <c r="G209" s="314"/>
      <c r="H209" s="95">
        <v>1</v>
      </c>
      <c r="J209" s="153"/>
      <c r="K209" s="128"/>
      <c r="L209" s="128"/>
      <c r="M209" s="128"/>
      <c r="N209" s="128"/>
      <c r="O209" s="128"/>
    </row>
    <row r="210" spans="1:15">
      <c r="A210" s="321"/>
      <c r="B210" s="100" t="s">
        <v>506</v>
      </c>
      <c r="C210" s="314" t="s">
        <v>530</v>
      </c>
      <c r="D210" s="314"/>
      <c r="E210" s="314"/>
      <c r="F210" s="314"/>
      <c r="G210" s="314"/>
      <c r="H210" s="95">
        <v>1</v>
      </c>
      <c r="J210" s="179"/>
      <c r="K210" s="128"/>
      <c r="L210" s="128"/>
      <c r="M210" s="128"/>
      <c r="N210" s="128"/>
      <c r="O210" s="128"/>
    </row>
    <row r="211" spans="1:15">
      <c r="A211" s="321"/>
      <c r="B211" s="100" t="s">
        <v>507</v>
      </c>
      <c r="C211" s="314" t="s">
        <v>530</v>
      </c>
      <c r="D211" s="314"/>
      <c r="E211" s="314"/>
      <c r="F211" s="314"/>
      <c r="G211" s="314"/>
      <c r="H211" s="95">
        <v>1</v>
      </c>
      <c r="J211" s="179"/>
      <c r="K211" s="128"/>
      <c r="L211" s="128"/>
      <c r="M211" s="128"/>
      <c r="N211" s="128"/>
      <c r="O211" s="128"/>
    </row>
    <row r="212" spans="1:15">
      <c r="A212" s="321"/>
      <c r="B212" s="100" t="s">
        <v>654</v>
      </c>
      <c r="C212" s="314" t="s">
        <v>530</v>
      </c>
      <c r="D212" s="314"/>
      <c r="E212" s="314"/>
      <c r="F212" s="314"/>
      <c r="G212" s="314"/>
      <c r="H212" s="95">
        <v>1</v>
      </c>
      <c r="J212" s="179"/>
      <c r="K212" s="128"/>
      <c r="L212" s="128"/>
      <c r="M212" s="128"/>
      <c r="N212" s="128"/>
      <c r="O212" s="128"/>
    </row>
    <row r="213" spans="1:15">
      <c r="A213" s="321"/>
      <c r="B213" s="100" t="s">
        <v>411</v>
      </c>
      <c r="C213" s="314" t="s">
        <v>530</v>
      </c>
      <c r="D213" s="314"/>
      <c r="E213" s="314"/>
      <c r="F213" s="314"/>
      <c r="G213" s="314"/>
      <c r="H213" s="95">
        <v>1</v>
      </c>
    </row>
    <row r="214" spans="1:15">
      <c r="A214" s="321"/>
      <c r="B214" s="100" t="s">
        <v>414</v>
      </c>
      <c r="C214" s="314" t="s">
        <v>530</v>
      </c>
      <c r="D214" s="314"/>
      <c r="E214" s="314"/>
      <c r="F214" s="314"/>
      <c r="G214" s="314"/>
      <c r="H214" s="95">
        <v>1</v>
      </c>
    </row>
    <row r="215" spans="1:15">
      <c r="A215" s="321"/>
      <c r="B215" s="100" t="s">
        <v>413</v>
      </c>
      <c r="C215" s="314" t="s">
        <v>530</v>
      </c>
      <c r="D215" s="314"/>
      <c r="E215" s="314"/>
      <c r="F215" s="314"/>
      <c r="G215" s="314"/>
      <c r="H215" s="95">
        <v>1</v>
      </c>
    </row>
    <row r="216" spans="1:15">
      <c r="A216" s="321"/>
      <c r="B216" s="100" t="s">
        <v>417</v>
      </c>
      <c r="C216" s="314" t="s">
        <v>530</v>
      </c>
      <c r="D216" s="314"/>
      <c r="E216" s="314"/>
      <c r="F216" s="314"/>
      <c r="G216" s="314"/>
      <c r="H216" s="95">
        <v>1</v>
      </c>
    </row>
    <row r="217" spans="1:15">
      <c r="A217" s="322"/>
      <c r="B217" s="87"/>
      <c r="C217" s="319" t="s">
        <v>177</v>
      </c>
      <c r="D217" s="319"/>
      <c r="E217" s="319"/>
      <c r="F217" s="319"/>
      <c r="G217" s="319"/>
      <c r="H217" s="96">
        <f>SUM(H209:H216)</f>
        <v>8</v>
      </c>
    </row>
    <row r="218" spans="1:15" ht="27" customHeight="1">
      <c r="A218" s="320" t="str">
        <f>'PLANILHA ORÇAMENTARIA'!A56</f>
        <v>6.1.2</v>
      </c>
      <c r="B218" s="92" t="str">
        <f>'PLANILHA ORÇAMENTARIA'!B56</f>
        <v>COMP.01</v>
      </c>
      <c r="C218" s="93" t="str">
        <f>'PLANILHA ORÇAMENTARIA'!C56</f>
        <v>CCU</v>
      </c>
      <c r="D218" s="318" t="str">
        <f>'PLANILHA ORÇAMENTARIA'!D56</f>
        <v>Porta em madeira de lei revestida em laminado melamínico, com marco em alumínio anodizado natural, tarjeta livre/ocupado e dobradiças</v>
      </c>
      <c r="E218" s="318"/>
      <c r="F218" s="318"/>
      <c r="G218" s="91" t="str">
        <f>'PLANILHA ORÇAMENTARIA'!E56</f>
        <v>m²</v>
      </c>
      <c r="H218" s="94">
        <f>H223</f>
        <v>9.2600000000000016</v>
      </c>
      <c r="J218" s="147"/>
    </row>
    <row r="219" spans="1:15">
      <c r="A219" s="321"/>
      <c r="B219" s="100" t="s">
        <v>449</v>
      </c>
      <c r="C219" s="314" t="s">
        <v>532</v>
      </c>
      <c r="D219" s="314"/>
      <c r="E219" s="314"/>
      <c r="F219" s="314"/>
      <c r="G219" s="314"/>
      <c r="H219" s="95">
        <f>((0.6*1.6*3)+(1*1.6))</f>
        <v>4.4800000000000004</v>
      </c>
      <c r="J219" s="147"/>
    </row>
    <row r="220" spans="1:15">
      <c r="A220" s="321"/>
      <c r="B220" s="100" t="s">
        <v>450</v>
      </c>
      <c r="C220" s="314" t="s">
        <v>533</v>
      </c>
      <c r="D220" s="314"/>
      <c r="E220" s="314"/>
      <c r="F220" s="314"/>
      <c r="G220" s="314"/>
      <c r="H220" s="95">
        <f>((0.6*1.6*2)+(1*1.6))</f>
        <v>3.52</v>
      </c>
      <c r="J220" s="179"/>
    </row>
    <row r="221" spans="1:15">
      <c r="A221" s="321"/>
      <c r="B221" s="100" t="s">
        <v>503</v>
      </c>
      <c r="C221" s="314" t="s">
        <v>534</v>
      </c>
      <c r="D221" s="314"/>
      <c r="E221" s="314"/>
      <c r="F221" s="314"/>
      <c r="G221" s="314"/>
      <c r="H221" s="95">
        <f>(0.6*1.05)</f>
        <v>0.63</v>
      </c>
      <c r="J221" s="179"/>
    </row>
    <row r="222" spans="1:15">
      <c r="A222" s="321"/>
      <c r="B222" s="100" t="s">
        <v>439</v>
      </c>
      <c r="C222" s="314" t="s">
        <v>534</v>
      </c>
      <c r="D222" s="314"/>
      <c r="E222" s="314"/>
      <c r="F222" s="314"/>
      <c r="G222" s="314"/>
      <c r="H222" s="95">
        <f>(0.6*1.05)</f>
        <v>0.63</v>
      </c>
      <c r="J222" s="147"/>
    </row>
    <row r="223" spans="1:15">
      <c r="A223" s="322"/>
      <c r="B223" s="87"/>
      <c r="C223" s="319" t="s">
        <v>177</v>
      </c>
      <c r="D223" s="319"/>
      <c r="E223" s="319"/>
      <c r="F223" s="319"/>
      <c r="G223" s="319"/>
      <c r="H223" s="96">
        <f>SUM(H219:H222)</f>
        <v>9.2600000000000016</v>
      </c>
      <c r="J223" s="147"/>
    </row>
    <row r="224" spans="1:15">
      <c r="A224" s="76" t="str">
        <f>'PLANILHA ORÇAMENTARIA'!A57</f>
        <v>6.2</v>
      </c>
      <c r="B224" s="259"/>
      <c r="C224" s="260"/>
      <c r="D224" s="268" t="s">
        <v>27</v>
      </c>
      <c r="E224" s="269"/>
      <c r="F224" s="269"/>
      <c r="G224" s="269"/>
      <c r="H224" s="270">
        <f t="shared" ref="H224:H231" si="3">ROUND(F224*G224,2)</f>
        <v>0</v>
      </c>
      <c r="J224" s="147"/>
    </row>
    <row r="225" spans="1:10">
      <c r="A225" s="332" t="str">
        <f>'PLANILHA ORÇAMENTARIA'!A58</f>
        <v>6.2.1</v>
      </c>
      <c r="B225" s="92">
        <f>'PLANILHA ORÇAMENTARIA'!B58</f>
        <v>85005</v>
      </c>
      <c r="C225" s="93" t="str">
        <f>'PLANILHA ORÇAMENTARIA'!C58</f>
        <v>SINAPI</v>
      </c>
      <c r="D225" s="318" t="str">
        <f>'PLANILHA ORÇAMENTARIA'!D58</f>
        <v>Espelho cristal, espessura 4mm, com parafusos de fixacao, sem moldura</v>
      </c>
      <c r="E225" s="318"/>
      <c r="F225" s="318"/>
      <c r="G225" s="91" t="str">
        <f>'PLANILHA ORÇAMENTARIA'!E58</f>
        <v>m²</v>
      </c>
      <c r="H225" s="94">
        <f>H230</f>
        <v>3.6800000000000006</v>
      </c>
      <c r="J225" s="147"/>
    </row>
    <row r="226" spans="1:10">
      <c r="A226" s="333"/>
      <c r="B226" s="100" t="s">
        <v>449</v>
      </c>
      <c r="C226" s="314" t="s">
        <v>535</v>
      </c>
      <c r="D226" s="314"/>
      <c r="E226" s="314"/>
      <c r="F226" s="314"/>
      <c r="G226" s="314"/>
      <c r="H226" s="101">
        <f>(0.5*0.8*4)</f>
        <v>1.6</v>
      </c>
      <c r="J226" s="179"/>
    </row>
    <row r="227" spans="1:10">
      <c r="A227" s="333"/>
      <c r="B227" s="100" t="s">
        <v>450</v>
      </c>
      <c r="C227" s="314" t="s">
        <v>535</v>
      </c>
      <c r="D227" s="314"/>
      <c r="E227" s="314"/>
      <c r="F227" s="314"/>
      <c r="G227" s="314"/>
      <c r="H227" s="101">
        <f>(0.5*0.8*4)</f>
        <v>1.6</v>
      </c>
      <c r="J227" s="179"/>
    </row>
    <row r="228" spans="1:10">
      <c r="A228" s="333"/>
      <c r="B228" s="100" t="s">
        <v>503</v>
      </c>
      <c r="C228" s="314" t="s">
        <v>536</v>
      </c>
      <c r="D228" s="314"/>
      <c r="E228" s="314"/>
      <c r="F228" s="314"/>
      <c r="G228" s="314"/>
      <c r="H228" s="101">
        <f>(0.4*0.6)</f>
        <v>0.24</v>
      </c>
    </row>
    <row r="229" spans="1:10">
      <c r="A229" s="333"/>
      <c r="B229" s="100" t="s">
        <v>439</v>
      </c>
      <c r="C229" s="314" t="s">
        <v>536</v>
      </c>
      <c r="D229" s="314"/>
      <c r="E229" s="314"/>
      <c r="F229" s="314"/>
      <c r="G229" s="314"/>
      <c r="H229" s="101">
        <f>(0.4*0.6)</f>
        <v>0.24</v>
      </c>
    </row>
    <row r="230" spans="1:10">
      <c r="A230" s="334"/>
      <c r="B230" s="87"/>
      <c r="C230" s="319" t="s">
        <v>177</v>
      </c>
      <c r="D230" s="319"/>
      <c r="E230" s="319"/>
      <c r="F230" s="319"/>
      <c r="G230" s="319"/>
      <c r="H230" s="96">
        <f>SUM(H226:H229)</f>
        <v>3.6800000000000006</v>
      </c>
      <c r="J230" s="147"/>
    </row>
    <row r="231" spans="1:10">
      <c r="A231" s="76" t="str">
        <f>'PLANILHA ORÇAMENTARIA'!A59</f>
        <v>6.3</v>
      </c>
      <c r="B231" s="259"/>
      <c r="C231" s="260"/>
      <c r="D231" s="268" t="s">
        <v>28</v>
      </c>
      <c r="E231" s="269"/>
      <c r="F231" s="269"/>
      <c r="G231" s="269"/>
      <c r="H231" s="270">
        <f t="shared" si="3"/>
        <v>0</v>
      </c>
    </row>
    <row r="232" spans="1:10">
      <c r="A232" s="320" t="str">
        <f>'PLANILHA ORÇAMENTARIA'!A60</f>
        <v>6.3.1</v>
      </c>
      <c r="B232" s="92" t="str">
        <f>'PLANILHA ORÇAMENTARIA'!B60</f>
        <v>SER-COR-015</v>
      </c>
      <c r="C232" s="93" t="str">
        <f>'PLANILHA ORÇAMENTARIA'!C60</f>
        <v>SETOP</v>
      </c>
      <c r="D232" s="318" t="str">
        <f>'PLANILHA ORÇAMENTARIA'!D60</f>
        <v>Guarda-corpo em tubo galvanizado din 2440 d = 2", com subdivisões em tubo de aço d = 1/2", h = 1,05 m</v>
      </c>
      <c r="E232" s="318"/>
      <c r="F232" s="318"/>
      <c r="G232" s="91" t="str">
        <f>'PLANILHA ORÇAMENTARIA'!E60</f>
        <v>m</v>
      </c>
      <c r="H232" s="94">
        <f>H234</f>
        <v>13</v>
      </c>
    </row>
    <row r="233" spans="1:10">
      <c r="A233" s="321"/>
      <c r="B233" s="100" t="s">
        <v>509</v>
      </c>
      <c r="C233" s="314" t="s">
        <v>511</v>
      </c>
      <c r="D233" s="314"/>
      <c r="E233" s="314"/>
      <c r="F233" s="314"/>
      <c r="G233" s="314"/>
      <c r="H233" s="101">
        <v>13</v>
      </c>
    </row>
    <row r="234" spans="1:10">
      <c r="A234" s="322"/>
      <c r="B234" s="87"/>
      <c r="C234" s="319" t="s">
        <v>177</v>
      </c>
      <c r="D234" s="319"/>
      <c r="E234" s="319"/>
      <c r="F234" s="319"/>
      <c r="G234" s="319"/>
      <c r="H234" s="96">
        <f>SUM(H233:H233)</f>
        <v>13</v>
      </c>
    </row>
    <row r="235" spans="1:10">
      <c r="A235" s="320" t="str">
        <f>'PLANILHA ORÇAMENTARIA'!A61</f>
        <v>6.3.2</v>
      </c>
      <c r="B235" s="92" t="str">
        <f>'PLANILHA ORÇAMENTARIA'!B61</f>
        <v>SER-POR-055</v>
      </c>
      <c r="C235" s="93" t="str">
        <f>'PLANILHA ORÇAMENTARIA'!C61</f>
        <v>SETOP</v>
      </c>
      <c r="D235" s="318" t="str">
        <f>'PLANILHA ORÇAMENTARIA'!D61</f>
        <v>Portão de grade colocado com cadeado</v>
      </c>
      <c r="E235" s="318"/>
      <c r="F235" s="318"/>
      <c r="G235" s="91" t="str">
        <f>'PLANILHA ORÇAMENTARIA'!E61</f>
        <v>m²</v>
      </c>
      <c r="H235" s="94">
        <f>H237</f>
        <v>3.3600000000000003</v>
      </c>
    </row>
    <row r="236" spans="1:10">
      <c r="A236" s="321"/>
      <c r="B236" s="100" t="s">
        <v>583</v>
      </c>
      <c r="C236" s="314" t="s">
        <v>584</v>
      </c>
      <c r="D236" s="314"/>
      <c r="E236" s="314"/>
      <c r="F236" s="314"/>
      <c r="G236" s="314"/>
      <c r="H236" s="101">
        <f>1.6*2.1</f>
        <v>3.3600000000000003</v>
      </c>
    </row>
    <row r="237" spans="1:10">
      <c r="A237" s="322"/>
      <c r="B237" s="87"/>
      <c r="C237" s="319" t="s">
        <v>177</v>
      </c>
      <c r="D237" s="319"/>
      <c r="E237" s="319"/>
      <c r="F237" s="319"/>
      <c r="G237" s="319"/>
      <c r="H237" s="96">
        <f>SUM(H236:H236)</f>
        <v>3.3600000000000003</v>
      </c>
    </row>
    <row r="238" spans="1:10" ht="24.75" customHeight="1">
      <c r="A238" s="320" t="str">
        <f>'PLANILHA ORÇAMENTARIA'!A62</f>
        <v>6.3.3</v>
      </c>
      <c r="B238" s="92">
        <f>'PLANILHA ORÇAMENTARIA'!B62</f>
        <v>99861</v>
      </c>
      <c r="C238" s="93" t="str">
        <f>'PLANILHA ORÇAMENTARIA'!C62</f>
        <v>SINAPI</v>
      </c>
      <c r="D238" s="318" t="str">
        <f>'PLANILHA ORÇAMENTARIA'!D62</f>
        <v>Gradil em ferro fixado em vãos de janelas, formado por barras chatas 25x4,8 mm.</v>
      </c>
      <c r="E238" s="318"/>
      <c r="F238" s="318"/>
      <c r="G238" s="91" t="str">
        <f>'PLANILHA ORÇAMENTARIA'!E62</f>
        <v>m²</v>
      </c>
      <c r="H238" s="94">
        <f>H242</f>
        <v>2.9</v>
      </c>
    </row>
    <row r="239" spans="1:10">
      <c r="A239" s="321"/>
      <c r="B239" s="100" t="s">
        <v>459</v>
      </c>
      <c r="C239" s="314" t="s">
        <v>537</v>
      </c>
      <c r="D239" s="314"/>
      <c r="E239" s="314"/>
      <c r="F239" s="314"/>
      <c r="G239" s="314"/>
      <c r="H239" s="101">
        <f>1*0.5</f>
        <v>0.5</v>
      </c>
    </row>
    <row r="240" spans="1:10">
      <c r="A240" s="321"/>
      <c r="B240" s="100" t="s">
        <v>418</v>
      </c>
      <c r="C240" s="314" t="s">
        <v>766</v>
      </c>
      <c r="D240" s="314"/>
      <c r="E240" s="314"/>
      <c r="F240" s="314"/>
      <c r="G240" s="314"/>
      <c r="H240" s="101">
        <f>1.9*1</f>
        <v>1.9</v>
      </c>
    </row>
    <row r="241" spans="1:8">
      <c r="A241" s="321"/>
      <c r="B241" s="100" t="s">
        <v>506</v>
      </c>
      <c r="C241" s="314" t="s">
        <v>537</v>
      </c>
      <c r="D241" s="314"/>
      <c r="E241" s="314"/>
      <c r="F241" s="314"/>
      <c r="G241" s="314"/>
      <c r="H241" s="101">
        <f>1*0.5</f>
        <v>0.5</v>
      </c>
    </row>
    <row r="242" spans="1:8">
      <c r="A242" s="322"/>
      <c r="B242" s="87"/>
      <c r="C242" s="319" t="s">
        <v>177</v>
      </c>
      <c r="D242" s="319"/>
      <c r="E242" s="319"/>
      <c r="F242" s="319"/>
      <c r="G242" s="319"/>
      <c r="H242" s="96">
        <f>SUM(H239:H241)</f>
        <v>2.9</v>
      </c>
    </row>
    <row r="243" spans="1:8">
      <c r="A243" s="76" t="str">
        <f>'PLANILHA ORÇAMENTARIA'!A63</f>
        <v>6.4</v>
      </c>
      <c r="B243" s="259"/>
      <c r="C243" s="260"/>
      <c r="D243" s="268" t="s">
        <v>251</v>
      </c>
      <c r="E243" s="269"/>
      <c r="F243" s="269"/>
      <c r="G243" s="269"/>
      <c r="H243" s="270">
        <f t="shared" ref="H243" si="4">ROUND(F243*G243,2)</f>
        <v>0</v>
      </c>
    </row>
    <row r="244" spans="1:8" ht="29.25" customHeight="1">
      <c r="A244" s="332" t="str">
        <f>'PLANILHA ORÇAMENTARIA'!A64</f>
        <v>6.4.1</v>
      </c>
      <c r="B244" s="92" t="str">
        <f>'PLANILHA ORÇAMENTARIA'!B64</f>
        <v>SER-JAN-030</v>
      </c>
      <c r="C244" s="93" t="str">
        <f>'PLANILHA ORÇAMENTARIA'!C64</f>
        <v>SETOP</v>
      </c>
      <c r="D244" s="318" t="str">
        <f>'PLANILHA ORÇAMENTARIA'!D64</f>
        <v>Fornecimento e assentamento de janela, inclusive fornecimento de vidro, ferragens e acessórios.</v>
      </c>
      <c r="E244" s="318"/>
      <c r="F244" s="318"/>
      <c r="G244" s="91" t="str">
        <f>'PLANILHA ORÇAMENTARIA'!E64</f>
        <v>m²</v>
      </c>
      <c r="H244" s="94">
        <f>H250</f>
        <v>6.1</v>
      </c>
    </row>
    <row r="245" spans="1:8">
      <c r="A245" s="333"/>
      <c r="B245" s="100" t="s">
        <v>459</v>
      </c>
      <c r="C245" s="314" t="s">
        <v>537</v>
      </c>
      <c r="D245" s="314"/>
      <c r="E245" s="314"/>
      <c r="F245" s="314"/>
      <c r="G245" s="314"/>
      <c r="H245" s="101">
        <f>1*0.5</f>
        <v>0.5</v>
      </c>
    </row>
    <row r="246" spans="1:8">
      <c r="A246" s="333"/>
      <c r="B246" s="100" t="s">
        <v>654</v>
      </c>
      <c r="C246" s="314" t="s">
        <v>537</v>
      </c>
      <c r="D246" s="314"/>
      <c r="E246" s="314"/>
      <c r="F246" s="314"/>
      <c r="G246" s="314"/>
      <c r="H246" s="101">
        <f>1*0.5</f>
        <v>0.5</v>
      </c>
    </row>
    <row r="247" spans="1:8">
      <c r="A247" s="333"/>
      <c r="B247" s="100" t="s">
        <v>767</v>
      </c>
      <c r="C247" s="314" t="s">
        <v>768</v>
      </c>
      <c r="D247" s="314"/>
      <c r="E247" s="314"/>
      <c r="F247" s="314"/>
      <c r="G247" s="314"/>
      <c r="H247" s="101">
        <f>2*1.2</f>
        <v>2.4</v>
      </c>
    </row>
    <row r="248" spans="1:8">
      <c r="A248" s="333"/>
      <c r="B248" s="100" t="s">
        <v>769</v>
      </c>
      <c r="C248" s="314" t="s">
        <v>770</v>
      </c>
      <c r="D248" s="314"/>
      <c r="E248" s="314"/>
      <c r="F248" s="314"/>
      <c r="G248" s="314"/>
      <c r="H248" s="101">
        <f>(1*1.2)+(1*1)</f>
        <v>2.2000000000000002</v>
      </c>
    </row>
    <row r="249" spans="1:8">
      <c r="A249" s="333"/>
      <c r="B249" s="100" t="s">
        <v>506</v>
      </c>
      <c r="C249" s="314" t="s">
        <v>537</v>
      </c>
      <c r="D249" s="314"/>
      <c r="E249" s="314"/>
      <c r="F249" s="314"/>
      <c r="G249" s="314"/>
      <c r="H249" s="101">
        <f>1*0.5</f>
        <v>0.5</v>
      </c>
    </row>
    <row r="250" spans="1:8">
      <c r="A250" s="334"/>
      <c r="B250" s="87"/>
      <c r="C250" s="319" t="s">
        <v>177</v>
      </c>
      <c r="D250" s="319"/>
      <c r="E250" s="319"/>
      <c r="F250" s="319"/>
      <c r="G250" s="319"/>
      <c r="H250" s="96">
        <f>SUM(H245:H249)</f>
        <v>6.1</v>
      </c>
    </row>
    <row r="251" spans="1:8" ht="29.25" customHeight="1">
      <c r="A251" s="320" t="str">
        <f>'PLANILHA ORÇAMENTARIA'!A65</f>
        <v>6.4.2</v>
      </c>
      <c r="B251" s="92" t="str">
        <f>'PLANILHA ORÇAMENTARIA'!B65</f>
        <v>COMP.07</v>
      </c>
      <c r="C251" s="93" t="str">
        <f>'PLANILHA ORÇAMENTARIA'!C65</f>
        <v>CCU</v>
      </c>
      <c r="D251" s="318" t="str">
        <f>'PLANILHA ORÇAMENTARIA'!D65</f>
        <v>Fornecimento e assentamento cj depuxador tipo punho redondo, central, em latao cromado, comprimento de *110* mm, para janelas - inclui parafuso</v>
      </c>
      <c r="E251" s="318"/>
      <c r="F251" s="318"/>
      <c r="G251" s="91" t="str">
        <f>'PLANILHA ORÇAMENTARIA'!E65</f>
        <v>un.</v>
      </c>
      <c r="H251" s="94">
        <f>H253</f>
        <v>20</v>
      </c>
    </row>
    <row r="252" spans="1:8">
      <c r="A252" s="321"/>
      <c r="B252" s="100" t="s">
        <v>425</v>
      </c>
      <c r="C252" s="314" t="s">
        <v>759</v>
      </c>
      <c r="D252" s="314"/>
      <c r="E252" s="314"/>
      <c r="F252" s="314"/>
      <c r="G252" s="314"/>
      <c r="H252" s="101">
        <v>20</v>
      </c>
    </row>
    <row r="253" spans="1:8">
      <c r="A253" s="322"/>
      <c r="B253" s="87"/>
      <c r="C253" s="319" t="s">
        <v>177</v>
      </c>
      <c r="D253" s="319"/>
      <c r="E253" s="319"/>
      <c r="F253" s="319"/>
      <c r="G253" s="319"/>
      <c r="H253" s="96">
        <f>SUM(H252:H252)</f>
        <v>20</v>
      </c>
    </row>
    <row r="254" spans="1:8" ht="20.25" customHeight="1">
      <c r="A254" s="332" t="str">
        <f>'PLANILHA ORÇAMENTARIA'!A66</f>
        <v>6.4.3</v>
      </c>
      <c r="B254" s="92">
        <f>'PLANILHA ORÇAMENTARIA'!B66</f>
        <v>8970</v>
      </c>
      <c r="C254" s="93" t="str">
        <f>'PLANILHA ORÇAMENTARIA'!C66</f>
        <v>ORSE</v>
      </c>
      <c r="D254" s="318" t="str">
        <f>'PLANILHA ORÇAMENTARIA'!D66</f>
        <v>Tela de nylon tipo mosquiteiro com moldura em aluminio anodizado natural</v>
      </c>
      <c r="E254" s="318"/>
      <c r="F254" s="318"/>
      <c r="G254" s="91" t="str">
        <f>'PLANILHA ORÇAMENTARIA'!E66</f>
        <v>m²</v>
      </c>
      <c r="H254" s="94">
        <f>H258</f>
        <v>8.1449999999999996</v>
      </c>
    </row>
    <row r="255" spans="1:8">
      <c r="A255" s="333"/>
      <c r="B255" s="100" t="s">
        <v>396</v>
      </c>
      <c r="C255" s="314" t="s">
        <v>505</v>
      </c>
      <c r="D255" s="314"/>
      <c r="E255" s="314"/>
      <c r="F255" s="314"/>
      <c r="G255" s="314"/>
      <c r="H255" s="101">
        <f>(3*1)+(1.7*1.45)+(0.8*2.1)</f>
        <v>7.1449999999999996</v>
      </c>
    </row>
    <row r="256" spans="1:8">
      <c r="A256" s="333"/>
      <c r="B256" s="100" t="s">
        <v>506</v>
      </c>
      <c r="C256" s="314" t="s">
        <v>508</v>
      </c>
      <c r="D256" s="314"/>
      <c r="E256" s="314"/>
      <c r="F256" s="314"/>
      <c r="G256" s="314"/>
      <c r="H256" s="101">
        <f>(1*0.5)</f>
        <v>0.5</v>
      </c>
    </row>
    <row r="257" spans="1:12">
      <c r="A257" s="333"/>
      <c r="B257" s="100" t="s">
        <v>507</v>
      </c>
      <c r="C257" s="314" t="s">
        <v>508</v>
      </c>
      <c r="D257" s="314"/>
      <c r="E257" s="314"/>
      <c r="F257" s="314"/>
      <c r="G257" s="314"/>
      <c r="H257" s="101">
        <f>(1*0.5)</f>
        <v>0.5</v>
      </c>
    </row>
    <row r="258" spans="1:12">
      <c r="A258" s="334"/>
      <c r="B258" s="87"/>
      <c r="C258" s="319" t="s">
        <v>177</v>
      </c>
      <c r="D258" s="319"/>
      <c r="E258" s="319"/>
      <c r="F258" s="319"/>
      <c r="G258" s="319"/>
      <c r="H258" s="96">
        <f>SUM(H255:H257)</f>
        <v>8.1449999999999996</v>
      </c>
    </row>
    <row r="259" spans="1:12">
      <c r="A259" s="326"/>
      <c r="B259" s="327"/>
      <c r="C259" s="327"/>
      <c r="D259" s="327"/>
      <c r="E259" s="327"/>
      <c r="F259" s="327"/>
      <c r="G259" s="327"/>
      <c r="H259" s="328"/>
    </row>
    <row r="260" spans="1:12">
      <c r="A260" s="73">
        <f>'PLANILHA ORÇAMENTARIA'!A68</f>
        <v>7</v>
      </c>
      <c r="B260" s="112"/>
      <c r="C260" s="112"/>
      <c r="D260" s="112" t="s">
        <v>29</v>
      </c>
      <c r="E260" s="112"/>
      <c r="F260" s="112"/>
      <c r="G260" s="112"/>
      <c r="H260" s="113"/>
    </row>
    <row r="261" spans="1:12" ht="44.25" customHeight="1">
      <c r="A261" s="320" t="str">
        <f>'PLANILHA ORÇAMENTARIA'!A69</f>
        <v>7.1</v>
      </c>
      <c r="B261" s="92" t="str">
        <f>'PLANILHA ORÇAMENTARIA'!B69</f>
        <v>COB-TEL-050</v>
      </c>
      <c r="C261" s="93" t="str">
        <f>'PLANILHA ORÇAMENTARIA'!C69</f>
        <v>SETOP</v>
      </c>
      <c r="D261" s="318" t="str">
        <f>'PLANILHA ORÇAMENTARIA'!D69</f>
        <v>Cobertura em telha metálica galvanizada trapezoidal, tipo dupla termoacústica com duas faces trapezoidais, esp. 0,43mm, preenchimento em poliestireno expandido/isopor com esp. 30mm, acabamento natural, inclusive acessórios para fixação, fornecimento e instalação</v>
      </c>
      <c r="E261" s="318"/>
      <c r="F261" s="318"/>
      <c r="G261" s="91" t="str">
        <f>'PLANILHA ORÇAMENTARIA'!E69</f>
        <v>m²</v>
      </c>
      <c r="H261" s="94">
        <f>H264</f>
        <v>314.42</v>
      </c>
      <c r="K261" s="104"/>
    </row>
    <row r="262" spans="1:12">
      <c r="A262" s="321"/>
      <c r="B262" s="100" t="s">
        <v>445</v>
      </c>
      <c r="C262" s="314" t="s">
        <v>448</v>
      </c>
      <c r="D262" s="314"/>
      <c r="E262" s="314"/>
      <c r="F262" s="314"/>
      <c r="G262" s="314"/>
      <c r="H262" s="101">
        <v>268</v>
      </c>
      <c r="K262" s="104"/>
    </row>
    <row r="263" spans="1:12">
      <c r="A263" s="321"/>
      <c r="B263" s="100" t="s">
        <v>394</v>
      </c>
      <c r="C263" s="314" t="s">
        <v>580</v>
      </c>
      <c r="D263" s="314"/>
      <c r="E263" s="314"/>
      <c r="F263" s="314"/>
      <c r="G263" s="314"/>
      <c r="H263" s="101">
        <v>46.42</v>
      </c>
      <c r="K263" s="104"/>
    </row>
    <row r="264" spans="1:12">
      <c r="A264" s="322"/>
      <c r="B264" s="87"/>
      <c r="C264" s="319" t="s">
        <v>177</v>
      </c>
      <c r="D264" s="319"/>
      <c r="E264" s="319"/>
      <c r="F264" s="319"/>
      <c r="G264" s="319"/>
      <c r="H264" s="96">
        <f>SUM(H262:H263)</f>
        <v>314.42</v>
      </c>
      <c r="K264" s="104"/>
    </row>
    <row r="265" spans="1:12">
      <c r="A265" s="320" t="str">
        <f>'PLANILHA ORÇAMENTARIA'!A70</f>
        <v>7.2</v>
      </c>
      <c r="B265" s="92" t="str">
        <f>'PLANILHA ORÇAMENTARIA'!B70</f>
        <v>COB-CUM-015</v>
      </c>
      <c r="C265" s="93" t="str">
        <f>'PLANILHA ORÇAMENTARIA'!C70</f>
        <v>SETOP</v>
      </c>
      <c r="D265" s="318" t="str">
        <f>'PLANILHA ORÇAMENTARIA'!D70</f>
        <v>Colocação de cumeeira galvanizada trapezoidal e = 0,50 mm, simples</v>
      </c>
      <c r="E265" s="318"/>
      <c r="F265" s="318"/>
      <c r="G265" s="91" t="str">
        <f>'PLANILHA ORÇAMENTARIA'!E70</f>
        <v>m</v>
      </c>
      <c r="H265" s="94">
        <f>H267</f>
        <v>13</v>
      </c>
      <c r="K265" s="104"/>
      <c r="L265" s="245"/>
    </row>
    <row r="266" spans="1:12">
      <c r="A266" s="321"/>
      <c r="B266" s="100" t="s">
        <v>445</v>
      </c>
      <c r="C266" s="314" t="s">
        <v>510</v>
      </c>
      <c r="D266" s="314"/>
      <c r="E266" s="314"/>
      <c r="F266" s="314"/>
      <c r="G266" s="314"/>
      <c r="H266" s="95">
        <v>13</v>
      </c>
      <c r="K266" s="104"/>
    </row>
    <row r="267" spans="1:12">
      <c r="A267" s="322"/>
      <c r="B267" s="87"/>
      <c r="C267" s="319" t="s">
        <v>177</v>
      </c>
      <c r="D267" s="319"/>
      <c r="E267" s="319"/>
      <c r="F267" s="319"/>
      <c r="G267" s="319"/>
      <c r="H267" s="96">
        <f>SUM(H266:H266)</f>
        <v>13</v>
      </c>
      <c r="K267" s="104"/>
    </row>
    <row r="268" spans="1:12">
      <c r="A268" s="320" t="str">
        <f>'PLANILHA ORÇAMENTARIA'!A71</f>
        <v>7.3</v>
      </c>
      <c r="B268" s="92" t="str">
        <f>'PLANILHA ORÇAMENTARIA'!B71</f>
        <v>PLU-CAL-045</v>
      </c>
      <c r="C268" s="93" t="str">
        <f>'PLANILHA ORÇAMENTARIA'!C71</f>
        <v>SETOP</v>
      </c>
      <c r="D268" s="318" t="str">
        <f>'PLANILHA ORÇAMENTARIA'!D71</f>
        <v>Calha de chapa galvanizada nº. 24 gsg, desenvolvimento = 50 cm</v>
      </c>
      <c r="E268" s="318"/>
      <c r="F268" s="318"/>
      <c r="G268" s="91" t="str">
        <f>'PLANILHA ORÇAMENTARIA'!E71</f>
        <v>m</v>
      </c>
      <c r="H268" s="94">
        <f>H270</f>
        <v>77.819999999999993</v>
      </c>
      <c r="K268" s="104"/>
    </row>
    <row r="269" spans="1:12">
      <c r="A269" s="321"/>
      <c r="B269" s="100" t="s">
        <v>444</v>
      </c>
      <c r="C269" s="314" t="s">
        <v>443</v>
      </c>
      <c r="D269" s="314"/>
      <c r="E269" s="314"/>
      <c r="F269" s="314"/>
      <c r="G269" s="314"/>
      <c r="H269" s="101">
        <f>38.91*2</f>
        <v>77.819999999999993</v>
      </c>
      <c r="K269" s="104"/>
    </row>
    <row r="270" spans="1:12">
      <c r="A270" s="322"/>
      <c r="B270" s="87"/>
      <c r="C270" s="319" t="s">
        <v>177</v>
      </c>
      <c r="D270" s="319"/>
      <c r="E270" s="319"/>
      <c r="F270" s="319"/>
      <c r="G270" s="319"/>
      <c r="H270" s="96">
        <f>SUM(H269:H269)</f>
        <v>77.819999999999993</v>
      </c>
      <c r="K270" s="104"/>
    </row>
    <row r="271" spans="1:12" ht="31.5" customHeight="1">
      <c r="A271" s="320" t="str">
        <f>'PLANILHA ORÇAMENTARIA'!A72</f>
        <v>7.4</v>
      </c>
      <c r="B271" s="92" t="str">
        <f>'PLANILHA ORÇAMENTARIA'!B72</f>
        <v>PLU-CHA-005</v>
      </c>
      <c r="C271" s="93" t="str">
        <f>'PLANILHA ORÇAMENTARIA'!C72</f>
        <v>SETOP</v>
      </c>
      <c r="D271" s="318" t="str">
        <f>'PLANILHA ORÇAMENTARIA'!D72</f>
        <v>Chapim metálico, com pingadeira, chapa galvanizada nº 24, desenvolvimento = 35 cm</v>
      </c>
      <c r="E271" s="318"/>
      <c r="F271" s="318"/>
      <c r="G271" s="91" t="str">
        <f>'PLANILHA ORÇAMENTARIA'!E72</f>
        <v>m</v>
      </c>
      <c r="H271" s="94">
        <f>H273</f>
        <v>280.74</v>
      </c>
      <c r="K271" s="104"/>
    </row>
    <row r="272" spans="1:12">
      <c r="A272" s="321"/>
      <c r="B272" s="100" t="s">
        <v>512</v>
      </c>
      <c r="C272" s="314" t="s">
        <v>513</v>
      </c>
      <c r="D272" s="314"/>
      <c r="E272" s="314"/>
      <c r="F272" s="314"/>
      <c r="G272" s="314"/>
      <c r="H272" s="95">
        <f>59.21 + 57.49 + 14.27 + 39.77 + 37.32 + 3.37 + 11.97 + 13.48 + 22.19 + 21.67</f>
        <v>280.74</v>
      </c>
      <c r="K272" s="104"/>
    </row>
    <row r="273" spans="1:11">
      <c r="A273" s="322"/>
      <c r="B273" s="87"/>
      <c r="C273" s="319" t="s">
        <v>177</v>
      </c>
      <c r="D273" s="319"/>
      <c r="E273" s="319"/>
      <c r="F273" s="319"/>
      <c r="G273" s="319"/>
      <c r="H273" s="96">
        <f>SUM(H272:H272)</f>
        <v>280.74</v>
      </c>
      <c r="K273" s="104"/>
    </row>
    <row r="274" spans="1:11" ht="31.5" customHeight="1">
      <c r="A274" s="320" t="str">
        <f>'PLANILHA ORÇAMENTARIA'!A73</f>
        <v>7.5</v>
      </c>
      <c r="B274" s="92">
        <f>'PLANILHA ORÇAMENTARIA'!B73</f>
        <v>12414</v>
      </c>
      <c r="C274" s="93" t="str">
        <f>'PLANILHA ORÇAMENTARIA'!C73</f>
        <v>ORSE</v>
      </c>
      <c r="D274" s="318" t="str">
        <f>'PLANILHA ORÇAMENTARIA'!D73</f>
        <v>Terça metálica, em perfil UDC127x50x5,13, p/ uso em coberturas de pórticos diversos vãos, pintura 01 demão epoxi fundo óxido ferro + 02 demãos esmalte epoxi branco</v>
      </c>
      <c r="E274" s="318"/>
      <c r="F274" s="318"/>
      <c r="G274" s="91" t="str">
        <f>'PLANILHA ORÇAMENTARIA'!E73</f>
        <v>m</v>
      </c>
      <c r="H274" s="94">
        <f>H276</f>
        <v>18</v>
      </c>
      <c r="K274" s="104"/>
    </row>
    <row r="275" spans="1:11">
      <c r="A275" s="321"/>
      <c r="B275" s="100" t="s">
        <v>444</v>
      </c>
      <c r="C275" s="314" t="s">
        <v>514</v>
      </c>
      <c r="D275" s="314"/>
      <c r="E275" s="314"/>
      <c r="F275" s="314"/>
      <c r="G275" s="314"/>
      <c r="H275" s="95">
        <v>18</v>
      </c>
      <c r="K275" s="104"/>
    </row>
    <row r="276" spans="1:11">
      <c r="A276" s="322"/>
      <c r="B276" s="87"/>
      <c r="C276" s="319" t="s">
        <v>177</v>
      </c>
      <c r="D276" s="319"/>
      <c r="E276" s="319"/>
      <c r="F276" s="319"/>
      <c r="G276" s="319"/>
      <c r="H276" s="96">
        <f>SUM(H275:H275)</f>
        <v>18</v>
      </c>
      <c r="K276" s="104"/>
    </row>
    <row r="277" spans="1:11" ht="31.5" customHeight="1">
      <c r="A277" s="320" t="str">
        <f>'PLANILHA ORÇAMENTARIA'!A74</f>
        <v>7.6</v>
      </c>
      <c r="B277" s="92" t="str">
        <f>'PLANILHA ORÇAMENTARIA'!B74</f>
        <v>FOR-PVC-005</v>
      </c>
      <c r="C277" s="93" t="str">
        <f>'PLANILHA ORÇAMENTARIA'!C74</f>
        <v>SETOP</v>
      </c>
      <c r="D277" s="318" t="str">
        <f>'PLANILHA ORÇAMENTARIA'!D74</f>
        <v>Forro em pvc branco de l = 10 cm</v>
      </c>
      <c r="E277" s="318"/>
      <c r="F277" s="318"/>
      <c r="G277" s="91" t="str">
        <f>'PLANILHA ORÇAMENTARIA'!E74</f>
        <v>m²</v>
      </c>
      <c r="H277" s="94">
        <f>H293</f>
        <v>581.77</v>
      </c>
      <c r="K277" s="104"/>
    </row>
    <row r="278" spans="1:11">
      <c r="A278" s="321"/>
      <c r="B278" s="100" t="s">
        <v>426</v>
      </c>
      <c r="C278" s="314" t="s">
        <v>427</v>
      </c>
      <c r="D278" s="314"/>
      <c r="E278" s="314"/>
      <c r="F278" s="314"/>
      <c r="G278" s="314"/>
      <c r="H278" s="101">
        <v>23.8</v>
      </c>
    </row>
    <row r="279" spans="1:11">
      <c r="A279" s="321"/>
      <c r="B279" s="100" t="s">
        <v>428</v>
      </c>
      <c r="C279" s="314" t="s">
        <v>427</v>
      </c>
      <c r="D279" s="314"/>
      <c r="E279" s="314"/>
      <c r="F279" s="314"/>
      <c r="G279" s="314"/>
      <c r="H279" s="101">
        <v>39</v>
      </c>
    </row>
    <row r="280" spans="1:11">
      <c r="A280" s="321"/>
      <c r="B280" s="100" t="s">
        <v>430</v>
      </c>
      <c r="C280" s="314" t="s">
        <v>427</v>
      </c>
      <c r="D280" s="314"/>
      <c r="E280" s="314"/>
      <c r="F280" s="314"/>
      <c r="G280" s="314"/>
      <c r="H280" s="101">
        <v>39</v>
      </c>
    </row>
    <row r="281" spans="1:11">
      <c r="A281" s="321"/>
      <c r="B281" s="100" t="s">
        <v>414</v>
      </c>
      <c r="C281" s="314" t="s">
        <v>427</v>
      </c>
      <c r="D281" s="314"/>
      <c r="E281" s="314"/>
      <c r="F281" s="314"/>
      <c r="G281" s="314"/>
      <c r="H281" s="101">
        <v>39</v>
      </c>
    </row>
    <row r="282" spans="1:11">
      <c r="A282" s="321"/>
      <c r="B282" s="100" t="s">
        <v>433</v>
      </c>
      <c r="C282" s="314" t="s">
        <v>427</v>
      </c>
      <c r="D282" s="314"/>
      <c r="E282" s="314"/>
      <c r="F282" s="314"/>
      <c r="G282" s="314"/>
      <c r="H282" s="101">
        <v>39</v>
      </c>
    </row>
    <row r="283" spans="1:11">
      <c r="A283" s="321"/>
      <c r="B283" s="100" t="s">
        <v>429</v>
      </c>
      <c r="C283" s="314" t="s">
        <v>427</v>
      </c>
      <c r="D283" s="314"/>
      <c r="E283" s="314"/>
      <c r="F283" s="314"/>
      <c r="G283" s="314"/>
      <c r="H283" s="101">
        <v>39</v>
      </c>
    </row>
    <row r="284" spans="1:11">
      <c r="A284" s="321"/>
      <c r="B284" s="100" t="s">
        <v>434</v>
      </c>
      <c r="C284" s="314" t="s">
        <v>427</v>
      </c>
      <c r="D284" s="314"/>
      <c r="E284" s="314"/>
      <c r="F284" s="314"/>
      <c r="G284" s="314"/>
      <c r="H284" s="101">
        <v>18</v>
      </c>
    </row>
    <row r="285" spans="1:11">
      <c r="A285" s="321"/>
      <c r="B285" s="100" t="s">
        <v>435</v>
      </c>
      <c r="C285" s="314" t="s">
        <v>427</v>
      </c>
      <c r="D285" s="314"/>
      <c r="E285" s="314"/>
      <c r="F285" s="314"/>
      <c r="G285" s="314"/>
      <c r="H285" s="101">
        <v>18</v>
      </c>
    </row>
    <row r="286" spans="1:11">
      <c r="A286" s="321"/>
      <c r="B286" s="100" t="s">
        <v>436</v>
      </c>
      <c r="C286" s="314" t="s">
        <v>427</v>
      </c>
      <c r="D286" s="314"/>
      <c r="E286" s="314"/>
      <c r="F286" s="314"/>
      <c r="G286" s="314"/>
      <c r="H286" s="101">
        <v>44.11</v>
      </c>
    </row>
    <row r="287" spans="1:11">
      <c r="A287" s="321"/>
      <c r="B287" s="100" t="s">
        <v>417</v>
      </c>
      <c r="C287" s="314" t="s">
        <v>427</v>
      </c>
      <c r="D287" s="314"/>
      <c r="E287" s="314"/>
      <c r="F287" s="314"/>
      <c r="G287" s="314"/>
      <c r="H287" s="101">
        <v>45.09</v>
      </c>
    </row>
    <row r="288" spans="1:11">
      <c r="A288" s="321"/>
      <c r="B288" s="100" t="s">
        <v>437</v>
      </c>
      <c r="C288" s="314" t="s">
        <v>427</v>
      </c>
      <c r="D288" s="314"/>
      <c r="E288" s="314"/>
      <c r="F288" s="314"/>
      <c r="G288" s="314"/>
      <c r="H288" s="101">
        <v>30.3</v>
      </c>
    </row>
    <row r="289" spans="1:11">
      <c r="A289" s="321"/>
      <c r="B289" s="100" t="s">
        <v>439</v>
      </c>
      <c r="C289" s="314" t="s">
        <v>427</v>
      </c>
      <c r="D289" s="314"/>
      <c r="E289" s="314"/>
      <c r="F289" s="314"/>
      <c r="G289" s="314"/>
      <c r="H289" s="101">
        <v>6.93</v>
      </c>
    </row>
    <row r="290" spans="1:11">
      <c r="A290" s="321"/>
      <c r="B290" s="100" t="s">
        <v>440</v>
      </c>
      <c r="C290" s="314" t="s">
        <v>427</v>
      </c>
      <c r="D290" s="314"/>
      <c r="E290" s="314"/>
      <c r="F290" s="314"/>
      <c r="G290" s="314"/>
      <c r="H290" s="101">
        <v>6.93</v>
      </c>
    </row>
    <row r="291" spans="1:11">
      <c r="A291" s="321"/>
      <c r="B291" s="100" t="s">
        <v>441</v>
      </c>
      <c r="C291" s="314" t="s">
        <v>427</v>
      </c>
      <c r="D291" s="314"/>
      <c r="E291" s="314"/>
      <c r="F291" s="314"/>
      <c r="G291" s="314"/>
      <c r="H291" s="101">
        <v>4.09</v>
      </c>
    </row>
    <row r="292" spans="1:11">
      <c r="A292" s="321"/>
      <c r="B292" s="100" t="s">
        <v>438</v>
      </c>
      <c r="C292" s="314" t="s">
        <v>442</v>
      </c>
      <c r="D292" s="314"/>
      <c r="E292" s="314"/>
      <c r="F292" s="314"/>
      <c r="G292" s="314"/>
      <c r="H292" s="101">
        <f>(10.6+9.15+6.21+27.6+4.45+36.75)*2</f>
        <v>189.52</v>
      </c>
    </row>
    <row r="293" spans="1:11">
      <c r="A293" s="322"/>
      <c r="B293" s="87"/>
      <c r="C293" s="319" t="s">
        <v>177</v>
      </c>
      <c r="D293" s="319"/>
      <c r="E293" s="319"/>
      <c r="F293" s="319"/>
      <c r="G293" s="319"/>
      <c r="H293" s="96">
        <f>SUM(H278:H292)</f>
        <v>581.77</v>
      </c>
      <c r="K293" s="104"/>
    </row>
    <row r="294" spans="1:11">
      <c r="A294" s="326"/>
      <c r="B294" s="327"/>
      <c r="C294" s="327"/>
      <c r="D294" s="327"/>
      <c r="E294" s="327"/>
      <c r="F294" s="327"/>
      <c r="G294" s="327"/>
      <c r="H294" s="328"/>
    </row>
    <row r="295" spans="1:11">
      <c r="A295" s="73">
        <f>'PLANILHA ORÇAMENTARIA'!A76</f>
        <v>8</v>
      </c>
      <c r="B295" s="112"/>
      <c r="C295" s="112"/>
      <c r="D295" s="112" t="s">
        <v>31</v>
      </c>
      <c r="E295" s="112"/>
      <c r="F295" s="112"/>
      <c r="G295" s="112"/>
      <c r="H295" s="113"/>
    </row>
    <row r="296" spans="1:11" ht="19.5" customHeight="1">
      <c r="A296" s="332" t="str">
        <f>'PLANILHA ORÇAMENTARIA'!A77</f>
        <v>8.1</v>
      </c>
      <c r="B296" s="92" t="str">
        <f>'PLANILHA ORÇAMENTARIA'!B77</f>
        <v>IMP-PIN-005</v>
      </c>
      <c r="C296" s="93" t="str">
        <f>'PLANILHA ORÇAMENTARIA'!C77</f>
        <v>SETOP</v>
      </c>
      <c r="D296" s="318" t="str">
        <f>'PLANILHA ORÇAMENTARIA'!D77</f>
        <v>Pintura com emulsão asfáltica, duas (2) demãos</v>
      </c>
      <c r="E296" s="318"/>
      <c r="F296" s="318"/>
      <c r="G296" s="91" t="str">
        <f>'PLANILHA ORÇAMENTARIA'!E77</f>
        <v>m²</v>
      </c>
      <c r="H296" s="94">
        <f>H305</f>
        <v>134.422</v>
      </c>
    </row>
    <row r="297" spans="1:11">
      <c r="A297" s="333"/>
      <c r="B297" s="100" t="s">
        <v>449</v>
      </c>
      <c r="C297" s="314" t="s">
        <v>602</v>
      </c>
      <c r="D297" s="314"/>
      <c r="E297" s="314"/>
      <c r="F297" s="314"/>
      <c r="G297" s="314"/>
      <c r="H297" s="101">
        <f>18.6+((3.1+3.1+6+6+1.4+1.4+1.1+1.1+1.1+1.1+2+2)*0.6)</f>
        <v>36.24</v>
      </c>
    </row>
    <row r="298" spans="1:11">
      <c r="A298" s="333"/>
      <c r="B298" s="100" t="s">
        <v>450</v>
      </c>
      <c r="C298" s="314" t="s">
        <v>603</v>
      </c>
      <c r="D298" s="314"/>
      <c r="E298" s="314"/>
      <c r="F298" s="314"/>
      <c r="G298" s="314"/>
      <c r="H298" s="101">
        <f>14.67+((3.1+6+6+3.1+2.4+1.1+1.1+1.4+1.4)*0.6)</f>
        <v>30.029999999999998</v>
      </c>
    </row>
    <row r="299" spans="1:11">
      <c r="A299" s="333"/>
      <c r="B299" s="100" t="s">
        <v>451</v>
      </c>
      <c r="C299" s="314" t="s">
        <v>604</v>
      </c>
      <c r="D299" s="314"/>
      <c r="E299" s="314"/>
      <c r="F299" s="314"/>
      <c r="G299" s="314"/>
      <c r="H299" s="101">
        <f>3.34+((1.5+2.23+1.5+2.23)*0.6)</f>
        <v>7.8159999999999998</v>
      </c>
    </row>
    <row r="300" spans="1:11">
      <c r="A300" s="333"/>
      <c r="B300" s="100" t="s">
        <v>452</v>
      </c>
      <c r="C300" s="314" t="s">
        <v>605</v>
      </c>
      <c r="D300" s="314"/>
      <c r="E300" s="314"/>
      <c r="F300" s="314"/>
      <c r="G300" s="314"/>
      <c r="H300" s="101">
        <f>4.79+((2.85+1.68+2.85+1.68)*0.6)</f>
        <v>10.225999999999999</v>
      </c>
    </row>
    <row r="301" spans="1:11">
      <c r="A301" s="333"/>
      <c r="B301" s="100" t="s">
        <v>439</v>
      </c>
      <c r="C301" s="314" t="s">
        <v>606</v>
      </c>
      <c r="D301" s="314"/>
      <c r="E301" s="314"/>
      <c r="F301" s="314"/>
      <c r="G301" s="314"/>
      <c r="H301" s="101">
        <f>6.93+((3.15+2.2+3.15+2.2)*0.6)</f>
        <v>13.349999999999998</v>
      </c>
    </row>
    <row r="302" spans="1:11">
      <c r="A302" s="333"/>
      <c r="B302" s="100" t="s">
        <v>455</v>
      </c>
      <c r="C302" s="314" t="s">
        <v>606</v>
      </c>
      <c r="D302" s="314"/>
      <c r="E302" s="314"/>
      <c r="F302" s="314"/>
      <c r="G302" s="314"/>
      <c r="H302" s="101">
        <f>6.93+((3.15+2.2+3.15+2.2)*0.6)</f>
        <v>13.349999999999998</v>
      </c>
    </row>
    <row r="303" spans="1:11">
      <c r="A303" s="333"/>
      <c r="B303" s="100" t="s">
        <v>441</v>
      </c>
      <c r="C303" s="314" t="s">
        <v>607</v>
      </c>
      <c r="D303" s="314"/>
      <c r="E303" s="314"/>
      <c r="F303" s="314"/>
      <c r="G303" s="314"/>
      <c r="H303" s="101">
        <f>4.09+((3.15+1.2+3.15+1.2)*0.6)</f>
        <v>9.3099999999999987</v>
      </c>
    </row>
    <row r="304" spans="1:11">
      <c r="A304" s="333"/>
      <c r="B304" s="100" t="s">
        <v>457</v>
      </c>
      <c r="C304" s="314" t="s">
        <v>608</v>
      </c>
      <c r="D304" s="314"/>
      <c r="E304" s="314"/>
      <c r="F304" s="314"/>
      <c r="G304" s="314"/>
      <c r="H304" s="101">
        <f>7.5+((2.5+3+2.5+3)*0.6)</f>
        <v>14.1</v>
      </c>
    </row>
    <row r="305" spans="1:8">
      <c r="A305" s="334"/>
      <c r="B305" s="87"/>
      <c r="C305" s="319" t="s">
        <v>177</v>
      </c>
      <c r="D305" s="319"/>
      <c r="E305" s="319"/>
      <c r="F305" s="319"/>
      <c r="G305" s="319"/>
      <c r="H305" s="96">
        <f>SUM(H297:H304)</f>
        <v>134.422</v>
      </c>
    </row>
    <row r="306" spans="1:8">
      <c r="A306" s="326"/>
      <c r="B306" s="327"/>
      <c r="C306" s="327"/>
      <c r="D306" s="327"/>
      <c r="E306" s="327"/>
      <c r="F306" s="327"/>
      <c r="G306" s="327"/>
      <c r="H306" s="328"/>
    </row>
    <row r="307" spans="1:8">
      <c r="A307" s="73">
        <f>'PLANILHA ORÇAMENTARIA'!A79</f>
        <v>9</v>
      </c>
      <c r="B307" s="112"/>
      <c r="C307" s="112"/>
      <c r="D307" s="112" t="s">
        <v>163</v>
      </c>
      <c r="E307" s="112"/>
      <c r="F307" s="112"/>
      <c r="G307" s="112"/>
      <c r="H307" s="113"/>
    </row>
    <row r="308" spans="1:8">
      <c r="A308" s="320" t="str">
        <f>'PLANILHA ORÇAMENTARIA'!A80</f>
        <v>9.1</v>
      </c>
      <c r="B308" s="92" t="str">
        <f>'PLANILHA ORÇAMENTARIA'!B80</f>
        <v>PIS-API-005</v>
      </c>
      <c r="C308" s="93" t="str">
        <f>'PLANILHA ORÇAMENTARIA'!C80</f>
        <v>SETOP</v>
      </c>
      <c r="D308" s="318" t="str">
        <f>'PLANILHA ORÇAMENTARIA'!D80</f>
        <v>Apicoamento de paredes para remoção de argamassa e pintura</v>
      </c>
      <c r="E308" s="318"/>
      <c r="F308" s="318"/>
      <c r="G308" s="91" t="str">
        <f>'PLANILHA ORÇAMENTARIA'!E80</f>
        <v>m²</v>
      </c>
      <c r="H308" s="94">
        <f>H350</f>
        <v>1449.9860000000003</v>
      </c>
    </row>
    <row r="309" spans="1:8">
      <c r="A309" s="321"/>
      <c r="B309" s="100" t="s">
        <v>428</v>
      </c>
      <c r="C309" s="324" t="s">
        <v>609</v>
      </c>
      <c r="D309" s="324"/>
      <c r="E309" s="324"/>
      <c r="F309" s="324"/>
      <c r="G309" s="324"/>
      <c r="H309" s="95">
        <f>((6.5+6.15+6.5+6.15)*1.5)-((0.8*1.5)+(6*0.5))</f>
        <v>33.749999999999993</v>
      </c>
    </row>
    <row r="310" spans="1:8">
      <c r="A310" s="321"/>
      <c r="B310" s="100" t="s">
        <v>430</v>
      </c>
      <c r="C310" s="324" t="s">
        <v>609</v>
      </c>
      <c r="D310" s="324"/>
      <c r="E310" s="324"/>
      <c r="F310" s="324"/>
      <c r="G310" s="324"/>
      <c r="H310" s="95">
        <f>((6.5+6.15+6.5+6.15)*1.5)-((0.8*1.5)+(6*0.5))</f>
        <v>33.749999999999993</v>
      </c>
    </row>
    <row r="311" spans="1:8">
      <c r="A311" s="321"/>
      <c r="B311" s="100" t="s">
        <v>431</v>
      </c>
      <c r="C311" s="324" t="s">
        <v>610</v>
      </c>
      <c r="D311" s="324"/>
      <c r="E311" s="324"/>
      <c r="F311" s="324"/>
      <c r="G311" s="324"/>
      <c r="H311" s="95">
        <f>((7.35+6.15+7.35+6.15)*1.5)-((0.8*1.5)+(6*0.5))</f>
        <v>36.299999999999997</v>
      </c>
    </row>
    <row r="312" spans="1:8">
      <c r="A312" s="321"/>
      <c r="B312" s="100" t="s">
        <v>411</v>
      </c>
      <c r="C312" s="324" t="s">
        <v>611</v>
      </c>
      <c r="D312" s="324"/>
      <c r="E312" s="324"/>
      <c r="F312" s="324"/>
      <c r="G312" s="324"/>
      <c r="H312" s="95">
        <f>((5.5+6.15+5.5+6.15)*1.5)-((0.8*1.5)+(3*0.5))</f>
        <v>32.249999999999993</v>
      </c>
    </row>
    <row r="313" spans="1:8">
      <c r="A313" s="321"/>
      <c r="B313" s="100" t="s">
        <v>414</v>
      </c>
      <c r="C313" s="324" t="s">
        <v>609</v>
      </c>
      <c r="D313" s="324"/>
      <c r="E313" s="324"/>
      <c r="F313" s="324"/>
      <c r="G313" s="324"/>
      <c r="H313" s="95">
        <f>((6.5+6.15+6.5+6.15)*1.5)-((0.8*1.5)+(6*0.5))</f>
        <v>33.749999999999993</v>
      </c>
    </row>
    <row r="314" spans="1:8">
      <c r="A314" s="321"/>
      <c r="B314" s="100" t="s">
        <v>432</v>
      </c>
      <c r="C314" s="324" t="s">
        <v>612</v>
      </c>
      <c r="D314" s="324"/>
      <c r="E314" s="324"/>
      <c r="F314" s="324"/>
      <c r="G314" s="324"/>
      <c r="H314" s="95">
        <f>((6.5+6.1+6.5+6.1)*1.5)-((0.8*1.5)+(6*0.5))</f>
        <v>33.6</v>
      </c>
    </row>
    <row r="315" spans="1:8">
      <c r="A315" s="321"/>
      <c r="B315" s="100" t="s">
        <v>413</v>
      </c>
      <c r="C315" s="324" t="s">
        <v>612</v>
      </c>
      <c r="D315" s="324"/>
      <c r="E315" s="324"/>
      <c r="F315" s="324"/>
      <c r="G315" s="324"/>
      <c r="H315" s="95">
        <f>((6.5+6.1+6.5+6.1)*1.5)-((0.8*1.5)+(6*0.5))</f>
        <v>33.6</v>
      </c>
    </row>
    <row r="316" spans="1:8">
      <c r="A316" s="321"/>
      <c r="B316" s="100" t="s">
        <v>433</v>
      </c>
      <c r="C316" s="324" t="s">
        <v>612</v>
      </c>
      <c r="D316" s="324"/>
      <c r="E316" s="324"/>
      <c r="F316" s="324"/>
      <c r="G316" s="324"/>
      <c r="H316" s="95">
        <f>((6.5+6.1+6.5+6.1)*1.5)-((0.8*1.5)+(6*0.5))</f>
        <v>33.6</v>
      </c>
    </row>
    <row r="317" spans="1:8">
      <c r="A317" s="321"/>
      <c r="B317" s="100" t="s">
        <v>429</v>
      </c>
      <c r="C317" s="324" t="s">
        <v>612</v>
      </c>
      <c r="D317" s="324"/>
      <c r="E317" s="324"/>
      <c r="F317" s="324"/>
      <c r="G317" s="324"/>
      <c r="H317" s="95">
        <f>((6.5+6.1+6.5+6.1)*1.5)-((0.8*1.5)+(6*0.5))</f>
        <v>33.6</v>
      </c>
    </row>
    <row r="318" spans="1:8" ht="30.75" customHeight="1">
      <c r="A318" s="321"/>
      <c r="B318" s="100" t="s">
        <v>449</v>
      </c>
      <c r="C318" s="324" t="s">
        <v>636</v>
      </c>
      <c r="D318" s="324"/>
      <c r="E318" s="324"/>
      <c r="F318" s="324"/>
      <c r="G318" s="324"/>
      <c r="H318" s="95">
        <f>(((6+3.1+6+3.1)*2.8)+((4.9+4.9+1.4+1.1+1.1+1.1+1.1+2+2)*1.9))-((0.8+0.6+0.6+0.6+1)*2.8)</f>
        <v>78.11999999999999</v>
      </c>
    </row>
    <row r="319" spans="1:8" ht="30" customHeight="1">
      <c r="A319" s="321"/>
      <c r="B319" s="100" t="s">
        <v>450</v>
      </c>
      <c r="C319" s="324" t="s">
        <v>637</v>
      </c>
      <c r="D319" s="324"/>
      <c r="E319" s="324"/>
      <c r="F319" s="324"/>
      <c r="G319" s="324"/>
      <c r="H319" s="95">
        <f>(((6+3.1+3.62+1.65+2.38)*2.8)+(((3.62+3.62+1.35+1.35+1.1+1.1+1.45)*1.9))-((0.8+0.6+0.6+1)*2.8))</f>
        <v>64.320999999999998</v>
      </c>
    </row>
    <row r="320" spans="1:8">
      <c r="A320" s="321"/>
      <c r="B320" s="100" t="s">
        <v>451</v>
      </c>
      <c r="C320" s="324" t="s">
        <v>616</v>
      </c>
      <c r="D320" s="324"/>
      <c r="E320" s="324"/>
      <c r="F320" s="324"/>
      <c r="G320" s="324"/>
      <c r="H320" s="95">
        <f>((1.5+2.2+1.5+2.2)*2.8)-(1*2.1)</f>
        <v>18.619999999999997</v>
      </c>
    </row>
    <row r="321" spans="1:9">
      <c r="A321" s="321"/>
      <c r="B321" s="100" t="s">
        <v>426</v>
      </c>
      <c r="C321" s="324" t="s">
        <v>613</v>
      </c>
      <c r="D321" s="324"/>
      <c r="E321" s="324"/>
      <c r="F321" s="324"/>
      <c r="G321" s="324"/>
      <c r="H321" s="95">
        <f>((5.35+4.45+5.35+4.45)*1.5)-((0.8*1.5)+(4.3*0.5))</f>
        <v>26.05</v>
      </c>
    </row>
    <row r="322" spans="1:9">
      <c r="A322" s="321"/>
      <c r="B322" s="100" t="s">
        <v>434</v>
      </c>
      <c r="C322" s="324" t="s">
        <v>614</v>
      </c>
      <c r="D322" s="324"/>
      <c r="E322" s="324"/>
      <c r="F322" s="324"/>
      <c r="G322" s="324"/>
      <c r="H322" s="95">
        <f>((3+6.15+3+6.15)*1.5)-((1*1.5)+(2.9*0.5))</f>
        <v>24.500000000000004</v>
      </c>
    </row>
    <row r="323" spans="1:9" ht="30" customHeight="1">
      <c r="A323" s="321"/>
      <c r="B323" s="100" t="s">
        <v>435</v>
      </c>
      <c r="C323" s="324" t="s">
        <v>615</v>
      </c>
      <c r="D323" s="324"/>
      <c r="E323" s="324"/>
      <c r="F323" s="324"/>
      <c r="G323" s="324"/>
      <c r="H323" s="95">
        <f>((3+6+6+4.17+3+1.83+3)*1.5)-((0.8*1.5*3)+(2.8*0.5))</f>
        <v>35.5</v>
      </c>
    </row>
    <row r="324" spans="1:9">
      <c r="A324" s="321"/>
      <c r="B324" s="100" t="s">
        <v>452</v>
      </c>
      <c r="C324" s="324" t="s">
        <v>617</v>
      </c>
      <c r="D324" s="324"/>
      <c r="E324" s="324"/>
      <c r="F324" s="324"/>
      <c r="G324" s="324"/>
      <c r="H324" s="95">
        <f>((2.85+1.7+2.85+1.7)*2.8)-(0.8*2.1)</f>
        <v>23.799999999999997</v>
      </c>
    </row>
    <row r="325" spans="1:9" ht="30" customHeight="1">
      <c r="A325" s="321"/>
      <c r="B325" s="100" t="s">
        <v>453</v>
      </c>
      <c r="C325" s="324" t="s">
        <v>474</v>
      </c>
      <c r="D325" s="324"/>
      <c r="E325" s="324"/>
      <c r="F325" s="324"/>
      <c r="G325" s="324"/>
      <c r="H325" s="95">
        <f>((6.15+6.15+5.05+5.05)*2.5)+((0.8*2.1*2)+(3*1.2*2))</f>
        <v>66.56</v>
      </c>
    </row>
    <row r="326" spans="1:9" ht="30.75" customHeight="1">
      <c r="A326" s="321"/>
      <c r="B326" s="100" t="s">
        <v>396</v>
      </c>
      <c r="C326" s="324" t="s">
        <v>627</v>
      </c>
      <c r="D326" s="324"/>
      <c r="E326" s="324"/>
      <c r="F326" s="324"/>
      <c r="G326" s="324"/>
      <c r="H326" s="95">
        <f>((5.4+4.8+8.3+2.75+2.5)*2.8)-((3*1)+(0.8*2.1*2)+((1.7+2.15)*1.45))</f>
        <v>54.557500000000005</v>
      </c>
    </row>
    <row r="327" spans="1:9">
      <c r="A327" s="321"/>
      <c r="B327" s="100" t="s">
        <v>506</v>
      </c>
      <c r="C327" s="324" t="s">
        <v>630</v>
      </c>
      <c r="D327" s="324"/>
      <c r="E327" s="324"/>
      <c r="F327" s="324"/>
      <c r="G327" s="324"/>
      <c r="H327" s="95">
        <f>((2.05+1.8+1.45)*2.5)-((0.8*2.1)+(1*0.5))</f>
        <v>11.07</v>
      </c>
      <c r="I327" s="167"/>
    </row>
    <row r="328" spans="1:9">
      <c r="A328" s="321"/>
      <c r="B328" s="100" t="s">
        <v>507</v>
      </c>
      <c r="C328" s="324" t="s">
        <v>631</v>
      </c>
      <c r="D328" s="324"/>
      <c r="E328" s="324"/>
      <c r="F328" s="324"/>
      <c r="G328" s="324"/>
      <c r="H328" s="95">
        <f>((2.1+1.4+1.9)*2.5)-((0.8*2.1)+(1*0.5))</f>
        <v>11.32</v>
      </c>
      <c r="I328" s="167"/>
    </row>
    <row r="329" spans="1:9">
      <c r="A329" s="321"/>
      <c r="B329" s="100" t="s">
        <v>439</v>
      </c>
      <c r="C329" s="324" t="s">
        <v>618</v>
      </c>
      <c r="D329" s="324"/>
      <c r="E329" s="324"/>
      <c r="F329" s="324"/>
      <c r="G329" s="324"/>
      <c r="H329" s="95">
        <f>((3.15+2.2+3.15+2.2)*2.5)-((0.8*2.1)+(1*0.5))</f>
        <v>24.57</v>
      </c>
    </row>
    <row r="330" spans="1:9">
      <c r="A330" s="321"/>
      <c r="B330" s="100" t="s">
        <v>455</v>
      </c>
      <c r="C330" s="324" t="s">
        <v>618</v>
      </c>
      <c r="D330" s="324"/>
      <c r="E330" s="324"/>
      <c r="F330" s="324"/>
      <c r="G330" s="324"/>
      <c r="H330" s="95">
        <f>((3.15+2.2+3.15+2.2)*2.5)-((0.8*2.1)+(1*0.5))</f>
        <v>24.57</v>
      </c>
    </row>
    <row r="331" spans="1:9">
      <c r="A331" s="321"/>
      <c r="B331" s="100" t="s">
        <v>441</v>
      </c>
      <c r="C331" s="324" t="s">
        <v>619</v>
      </c>
      <c r="D331" s="324"/>
      <c r="E331" s="324"/>
      <c r="F331" s="324"/>
      <c r="G331" s="324"/>
      <c r="H331" s="95">
        <f>((3.15+1.3+3.15+1.3)*2.5)-((0.8*2.1)+(1*0.5))</f>
        <v>20.07</v>
      </c>
    </row>
    <row r="332" spans="1:9" ht="33" customHeight="1">
      <c r="A332" s="321"/>
      <c r="B332" s="100" t="s">
        <v>456</v>
      </c>
      <c r="C332" s="324" t="s">
        <v>620</v>
      </c>
      <c r="D332" s="324"/>
      <c r="E332" s="324"/>
      <c r="F332" s="324"/>
      <c r="G332" s="324"/>
      <c r="H332" s="95">
        <f>((11.2+5.5+11.2+5.5)+1.5)-((0.8*2.1*8)+(1*2.3)+(3.65*1.2)+(1*0.5*2)+(3*1.2)+(1.93*1.45))</f>
        <v>7.3814999999999991</v>
      </c>
    </row>
    <row r="333" spans="1:9" ht="28.5" customHeight="1">
      <c r="A333" s="321"/>
      <c r="B333" s="100" t="s">
        <v>436</v>
      </c>
      <c r="C333" s="324" t="s">
        <v>621</v>
      </c>
      <c r="D333" s="324"/>
      <c r="E333" s="324"/>
      <c r="F333" s="324"/>
      <c r="G333" s="324"/>
      <c r="H333" s="95">
        <f>((5.9+6+3.25+8.8+2.93)*1.5)-((0.8*1.5)+((1.9+2.4)*0.5))</f>
        <v>36.970000000000006</v>
      </c>
    </row>
    <row r="334" spans="1:9">
      <c r="A334" s="321"/>
      <c r="B334" s="100" t="s">
        <v>437</v>
      </c>
      <c r="C334" s="324" t="s">
        <v>622</v>
      </c>
      <c r="D334" s="324"/>
      <c r="E334" s="324"/>
      <c r="F334" s="324"/>
      <c r="G334" s="324"/>
      <c r="H334" s="95">
        <f>((6+5.05+6+5.05)*1.5)-((0.8*1.5*2)+(3*0.5))</f>
        <v>29.250000000000007</v>
      </c>
    </row>
    <row r="335" spans="1:9">
      <c r="A335" s="321"/>
      <c r="B335" s="100" t="s">
        <v>417</v>
      </c>
      <c r="C335" s="324" t="s">
        <v>623</v>
      </c>
      <c r="D335" s="324"/>
      <c r="E335" s="324"/>
      <c r="F335" s="324"/>
      <c r="G335" s="324"/>
      <c r="H335" s="95">
        <f>((8.35+5.4+8.35+5.4)*1.5)-((0.8*1.5*4)+(3.75*0.5))</f>
        <v>34.575000000000003</v>
      </c>
    </row>
    <row r="336" spans="1:9" ht="14.25" customHeight="1">
      <c r="A336" s="321"/>
      <c r="B336" s="100" t="s">
        <v>640</v>
      </c>
      <c r="C336" s="324" t="s">
        <v>639</v>
      </c>
      <c r="D336" s="324"/>
      <c r="E336" s="324"/>
      <c r="F336" s="324"/>
      <c r="G336" s="324"/>
      <c r="H336" s="95">
        <f>((3+2.5+3+2.5)*2.5)-((0.8*2.1)+(1.4*0.4))</f>
        <v>25.259999999999998</v>
      </c>
    </row>
    <row r="337" spans="1:8">
      <c r="A337" s="321"/>
      <c r="B337" s="100" t="s">
        <v>641</v>
      </c>
      <c r="C337" s="324" t="s">
        <v>642</v>
      </c>
      <c r="D337" s="324"/>
      <c r="E337" s="324"/>
      <c r="F337" s="324"/>
      <c r="G337" s="324"/>
      <c r="H337" s="95">
        <f>((2+3+2+3)*2.8)-((0.8*2.1)+(1.93*1.3))</f>
        <v>23.811</v>
      </c>
    </row>
    <row r="338" spans="1:8">
      <c r="A338" s="321"/>
      <c r="B338" s="100" t="s">
        <v>418</v>
      </c>
      <c r="C338" s="324" t="s">
        <v>632</v>
      </c>
      <c r="D338" s="324"/>
      <c r="E338" s="324"/>
      <c r="F338" s="324"/>
      <c r="G338" s="324"/>
      <c r="H338" s="95">
        <f>((1.9+1.45)*2.5)-(0.8*2.1)</f>
        <v>6.6950000000000003</v>
      </c>
    </row>
    <row r="339" spans="1:8">
      <c r="A339" s="321"/>
      <c r="B339" s="100" t="s">
        <v>459</v>
      </c>
      <c r="C339" s="324" t="s">
        <v>633</v>
      </c>
      <c r="D339" s="324"/>
      <c r="E339" s="324"/>
      <c r="F339" s="324"/>
      <c r="G339" s="324"/>
      <c r="H339" s="95">
        <f>((3.55+3+3.55)*2.5)-((1*0.5*2))</f>
        <v>24.25</v>
      </c>
    </row>
    <row r="340" spans="1:8" ht="26.25" customHeight="1">
      <c r="A340" s="321"/>
      <c r="B340" s="100" t="s">
        <v>460</v>
      </c>
      <c r="C340" s="324" t="s">
        <v>624</v>
      </c>
      <c r="D340" s="324"/>
      <c r="E340" s="324"/>
      <c r="F340" s="324"/>
      <c r="G340" s="324"/>
      <c r="H340" s="95">
        <f>((27.6+4.45+27.6+6.15+2.85+6.15)*1.5)-((0.8*1.5*12)+(1*1.5))</f>
        <v>96.300000000000011</v>
      </c>
    </row>
    <row r="341" spans="1:8" ht="29.25" customHeight="1">
      <c r="A341" s="321"/>
      <c r="B341" s="100" t="s">
        <v>461</v>
      </c>
      <c r="C341" s="324" t="s">
        <v>625</v>
      </c>
      <c r="D341" s="324"/>
      <c r="E341" s="324"/>
      <c r="F341" s="324"/>
      <c r="G341" s="324"/>
      <c r="H341" s="95">
        <f>((10.6+9.15+6.15+6.3)*1.5)-((0.8*1.5*4)+(1*1.5)+((2.8+2.7)*0.5))</f>
        <v>39.25</v>
      </c>
    </row>
    <row r="342" spans="1:8">
      <c r="A342" s="321"/>
      <c r="B342" s="100" t="s">
        <v>492</v>
      </c>
      <c r="C342" s="324" t="s">
        <v>656</v>
      </c>
      <c r="D342" s="324"/>
      <c r="E342" s="324"/>
      <c r="F342" s="324"/>
      <c r="G342" s="324"/>
      <c r="H342" s="95">
        <f>((4.5+3.25+4.5+3.25)*1.5)-((0.8*1.5)+(2*0.5))</f>
        <v>21.05</v>
      </c>
    </row>
    <row r="343" spans="1:8">
      <c r="A343" s="321"/>
      <c r="B343" s="100" t="s">
        <v>652</v>
      </c>
      <c r="C343" s="324" t="s">
        <v>657</v>
      </c>
      <c r="D343" s="324"/>
      <c r="E343" s="324"/>
      <c r="F343" s="324"/>
      <c r="G343" s="324"/>
      <c r="H343" s="95">
        <f>((2.3+3.25+2.5+3.25)*1.5)-((0.8*1.5)+(2*0.5))</f>
        <v>14.750000000000004</v>
      </c>
    </row>
    <row r="344" spans="1:8" ht="30" customHeight="1">
      <c r="A344" s="321"/>
      <c r="B344" s="100" t="s">
        <v>653</v>
      </c>
      <c r="C344" s="324" t="s">
        <v>658</v>
      </c>
      <c r="D344" s="324"/>
      <c r="E344" s="324"/>
      <c r="F344" s="324"/>
      <c r="G344" s="324"/>
      <c r="H344" s="95">
        <f>((5.15+2.95+2.15+0.15+3+3.25)*1.5)-((0.8*1.5)+(2*0.5*2))</f>
        <v>21.775000000000002</v>
      </c>
    </row>
    <row r="345" spans="1:8">
      <c r="A345" s="321"/>
      <c r="B345" s="100" t="s">
        <v>654</v>
      </c>
      <c r="C345" s="324" t="s">
        <v>660</v>
      </c>
      <c r="D345" s="324"/>
      <c r="E345" s="324"/>
      <c r="F345" s="324"/>
      <c r="G345" s="324"/>
      <c r="H345" s="95">
        <f>((1.4+2.5+1.4+2.5)*1.5)-(0.8*1.5)</f>
        <v>10.5</v>
      </c>
    </row>
    <row r="346" spans="1:8">
      <c r="A346" s="321"/>
      <c r="B346" s="100" t="s">
        <v>655</v>
      </c>
      <c r="C346" s="324" t="s">
        <v>659</v>
      </c>
      <c r="D346" s="324"/>
      <c r="E346" s="324"/>
      <c r="F346" s="324"/>
      <c r="G346" s="324"/>
      <c r="H346" s="95">
        <f>((6.4+1.1+6.4+1.1)*1.5)-(0.8*1.5*6)</f>
        <v>15.299999999999999</v>
      </c>
    </row>
    <row r="347" spans="1:8" ht="29.25" customHeight="1">
      <c r="A347" s="321"/>
      <c r="B347" s="100" t="s">
        <v>462</v>
      </c>
      <c r="C347" s="324" t="s">
        <v>626</v>
      </c>
      <c r="D347" s="324"/>
      <c r="E347" s="324"/>
      <c r="F347" s="324"/>
      <c r="G347" s="324"/>
      <c r="H347" s="95">
        <f>((54.5+4.8+12.75+4.8+12.75)*1.5)-((0.8*1.5*6)+(3*0.5*12)+(2*0.5*4))</f>
        <v>105.19999999999997</v>
      </c>
    </row>
    <row r="348" spans="1:8" ht="25.5" customHeight="1">
      <c r="A348" s="321"/>
      <c r="B348" s="100" t="s">
        <v>394</v>
      </c>
      <c r="C348" s="324" t="s">
        <v>643</v>
      </c>
      <c r="D348" s="324"/>
      <c r="E348" s="324"/>
      <c r="F348" s="324"/>
      <c r="G348" s="324"/>
      <c r="H348" s="95">
        <f>((2.75+14.05+3.26+11.82+5.84)*1.5)-(((1.9+3+3.75+1.93)*0.5)+(0.8*2.1))</f>
        <v>49.61</v>
      </c>
    </row>
    <row r="349" spans="1:8" ht="30.75" customHeight="1">
      <c r="A349" s="321"/>
      <c r="B349" s="100" t="s">
        <v>644</v>
      </c>
      <c r="C349" s="324" t="s">
        <v>645</v>
      </c>
      <c r="D349" s="324"/>
      <c r="E349" s="324"/>
      <c r="F349" s="324"/>
      <c r="G349" s="324"/>
      <c r="H349" s="95">
        <f>((11.85+3.15+48.8+17.05)*1.5)-(((4.33+(3*9)+2.8+2.7+1.9)*0.5)+(0.8*2.1))</f>
        <v>100.22999999999999</v>
      </c>
    </row>
    <row r="350" spans="1:8">
      <c r="A350" s="322"/>
      <c r="B350" s="87"/>
      <c r="C350" s="319" t="s">
        <v>177</v>
      </c>
      <c r="D350" s="319"/>
      <c r="E350" s="319"/>
      <c r="F350" s="319"/>
      <c r="G350" s="319"/>
      <c r="H350" s="96">
        <f>SUM(H309:H349)</f>
        <v>1449.9860000000003</v>
      </c>
    </row>
    <row r="351" spans="1:8" ht="29.25" customHeight="1">
      <c r="A351" s="320" t="str">
        <f>'PLANILHA ORÇAMENTARIA'!A81</f>
        <v>9.2</v>
      </c>
      <c r="B351" s="92">
        <f>'PLANILHA ORÇAMENTARIA'!B81</f>
        <v>87878</v>
      </c>
      <c r="C351" s="93" t="str">
        <f>'PLANILHA ORÇAMENTARIA'!C81</f>
        <v>SINAPI</v>
      </c>
      <c r="D351" s="318" t="str">
        <f>'PLANILHA ORÇAMENTARIA'!D81</f>
        <v>Chapisco aplicado em alvenarias e estruturas de concreto internas, com colher de pedreiro.  Argamassa traço 1:3 com preparo manual.</v>
      </c>
      <c r="E351" s="318"/>
      <c r="F351" s="318"/>
      <c r="G351" s="91" t="str">
        <f>'PLANILHA ORÇAMENTARIA'!E81</f>
        <v>m²</v>
      </c>
      <c r="H351" s="94">
        <f>H356</f>
        <v>68.989999999999995</v>
      </c>
    </row>
    <row r="352" spans="1:8">
      <c r="A352" s="321"/>
      <c r="B352" s="100" t="s">
        <v>459</v>
      </c>
      <c r="C352" s="314" t="s">
        <v>648</v>
      </c>
      <c r="D352" s="314"/>
      <c r="E352" s="314"/>
      <c r="F352" s="314"/>
      <c r="G352" s="314"/>
      <c r="H352" s="101">
        <f>(3*2.8*2)-(0.8*2.1)</f>
        <v>15.119999999999997</v>
      </c>
    </row>
    <row r="353" spans="1:8">
      <c r="A353" s="321"/>
      <c r="B353" s="100" t="s">
        <v>418</v>
      </c>
      <c r="C353" s="314" t="s">
        <v>649</v>
      </c>
      <c r="D353" s="314"/>
      <c r="E353" s="314"/>
      <c r="F353" s="314"/>
      <c r="G353" s="314"/>
      <c r="H353" s="101">
        <f>((2.05*1.1)+(1.6*2.8))*2</f>
        <v>13.469999999999999</v>
      </c>
    </row>
    <row r="354" spans="1:8">
      <c r="A354" s="321"/>
      <c r="B354" s="100" t="s">
        <v>454</v>
      </c>
      <c r="C354" s="314" t="s">
        <v>650</v>
      </c>
      <c r="D354" s="314"/>
      <c r="E354" s="314"/>
      <c r="F354" s="314"/>
      <c r="G354" s="314"/>
      <c r="H354" s="101">
        <f>(1.15+0.55+0.9+2.65+1.3)*2.8*2</f>
        <v>36.68</v>
      </c>
    </row>
    <row r="355" spans="1:8">
      <c r="A355" s="321"/>
      <c r="B355" s="100" t="s">
        <v>646</v>
      </c>
      <c r="C355" s="314" t="s">
        <v>651</v>
      </c>
      <c r="D355" s="314"/>
      <c r="E355" s="314"/>
      <c r="F355" s="314"/>
      <c r="G355" s="314"/>
      <c r="H355" s="101">
        <f>(0.93*2*2)</f>
        <v>3.72</v>
      </c>
    </row>
    <row r="356" spans="1:8">
      <c r="A356" s="322"/>
      <c r="B356" s="87"/>
      <c r="C356" s="319" t="s">
        <v>177</v>
      </c>
      <c r="D356" s="319"/>
      <c r="E356" s="319"/>
      <c r="F356" s="319"/>
      <c r="G356" s="319"/>
      <c r="H356" s="96">
        <f>SUM(H352:H355)</f>
        <v>68.989999999999995</v>
      </c>
    </row>
    <row r="357" spans="1:8" ht="28.5" customHeight="1">
      <c r="A357" s="320" t="str">
        <f>'PLANILHA ORÇAMENTARIA'!A82</f>
        <v>9.3</v>
      </c>
      <c r="B357" s="92" t="str">
        <f>'PLANILHA ORÇAMENTARIA'!B82</f>
        <v>REV-REB-010</v>
      </c>
      <c r="C357" s="93" t="str">
        <f>'PLANILHA ORÇAMENTARIA'!C82</f>
        <v>SETOP</v>
      </c>
      <c r="D357" s="318" t="str">
        <f>'PLANILHA ORÇAMENTARIA'!D82</f>
        <v>Reboco com argamassa, traço 1:2:9 (cimento, cal e areia), com aditivo impermeabilizante, esp. 20mm, aplicação manual, preparo mecânico</v>
      </c>
      <c r="E357" s="318"/>
      <c r="F357" s="318"/>
      <c r="G357" s="91" t="str">
        <f>'PLANILHA ORÇAMENTARIA'!E82</f>
        <v>m²</v>
      </c>
      <c r="H357" s="94">
        <f>H362</f>
        <v>68.989999999999995</v>
      </c>
    </row>
    <row r="358" spans="1:8">
      <c r="A358" s="321"/>
      <c r="B358" s="100" t="s">
        <v>459</v>
      </c>
      <c r="C358" s="314" t="s">
        <v>648</v>
      </c>
      <c r="D358" s="314"/>
      <c r="E358" s="314"/>
      <c r="F358" s="314"/>
      <c r="G358" s="314"/>
      <c r="H358" s="101">
        <f>(3*2.8*2)-(0.8*2.1)</f>
        <v>15.119999999999997</v>
      </c>
    </row>
    <row r="359" spans="1:8">
      <c r="A359" s="321"/>
      <c r="B359" s="100" t="s">
        <v>418</v>
      </c>
      <c r="C359" s="314" t="s">
        <v>649</v>
      </c>
      <c r="D359" s="314"/>
      <c r="E359" s="314"/>
      <c r="F359" s="314"/>
      <c r="G359" s="314"/>
      <c r="H359" s="101">
        <f>((2.05*1.1)+(1.6*2.8))*2</f>
        <v>13.469999999999999</v>
      </c>
    </row>
    <row r="360" spans="1:8">
      <c r="A360" s="321"/>
      <c r="B360" s="100" t="s">
        <v>454</v>
      </c>
      <c r="C360" s="314" t="s">
        <v>650</v>
      </c>
      <c r="D360" s="314"/>
      <c r="E360" s="314"/>
      <c r="F360" s="314"/>
      <c r="G360" s="314"/>
      <c r="H360" s="101">
        <f>(1.15+0.55+0.9+2.65+1.3)*2.8*2</f>
        <v>36.68</v>
      </c>
    </row>
    <row r="361" spans="1:8">
      <c r="A361" s="321"/>
      <c r="B361" s="100" t="s">
        <v>646</v>
      </c>
      <c r="C361" s="314" t="s">
        <v>651</v>
      </c>
      <c r="D361" s="314"/>
      <c r="E361" s="314"/>
      <c r="F361" s="314"/>
      <c r="G361" s="314"/>
      <c r="H361" s="101">
        <f>(0.93*2*2)</f>
        <v>3.72</v>
      </c>
    </row>
    <row r="362" spans="1:8">
      <c r="A362" s="321"/>
      <c r="B362" s="87"/>
      <c r="C362" s="319" t="s">
        <v>177</v>
      </c>
      <c r="D362" s="319"/>
      <c r="E362" s="319"/>
      <c r="F362" s="319"/>
      <c r="G362" s="319"/>
      <c r="H362" s="96">
        <f>SUM(H358:H361)</f>
        <v>68.989999999999995</v>
      </c>
    </row>
    <row r="363" spans="1:8" ht="27" customHeight="1">
      <c r="A363" s="332" t="str">
        <f>'PLANILHA ORÇAMENTARIA'!A83</f>
        <v>9.4</v>
      </c>
      <c r="B363" s="92" t="str">
        <f>'PLANILHA ORÇAMENTARIA'!B83</f>
        <v>REV-CER-015</v>
      </c>
      <c r="C363" s="93" t="str">
        <f>'PLANILHA ORÇAMENTARIA'!C83</f>
        <v>SETOP</v>
      </c>
      <c r="D363" s="318" t="str">
        <f>'PLANILHA ORÇAMENTARIA'!D83</f>
        <v xml:space="preserve">Cerâmica esmaltada 10 x 10 cm pei iv, assentada com argamassa pré-fabricada, inclusive rejuntamento - conforme projeto </v>
      </c>
      <c r="E363" s="318"/>
      <c r="F363" s="318"/>
      <c r="G363" s="91" t="str">
        <f>'PLANILHA ORÇAMENTARIA'!E83</f>
        <v>m²</v>
      </c>
      <c r="H363" s="94">
        <f>H391</f>
        <v>1038.9514999999999</v>
      </c>
    </row>
    <row r="364" spans="1:8">
      <c r="A364" s="333"/>
      <c r="B364" s="100" t="s">
        <v>428</v>
      </c>
      <c r="C364" s="324" t="s">
        <v>609</v>
      </c>
      <c r="D364" s="324"/>
      <c r="E364" s="324"/>
      <c r="F364" s="324"/>
      <c r="G364" s="324"/>
      <c r="H364" s="95">
        <f>((6.5+6.15+6.5+6.15)*1.5)-((0.8*1.5)+(6*0.5))</f>
        <v>33.749999999999993</v>
      </c>
    </row>
    <row r="365" spans="1:8">
      <c r="A365" s="333"/>
      <c r="B365" s="100" t="s">
        <v>430</v>
      </c>
      <c r="C365" s="324" t="s">
        <v>609</v>
      </c>
      <c r="D365" s="324"/>
      <c r="E365" s="324"/>
      <c r="F365" s="324"/>
      <c r="G365" s="324"/>
      <c r="H365" s="95">
        <f>((6.5+6.15+6.5+6.15)*1.5)-((0.8*1.5)+(6*0.5))</f>
        <v>33.749999999999993</v>
      </c>
    </row>
    <row r="366" spans="1:8">
      <c r="A366" s="333"/>
      <c r="B366" s="100" t="s">
        <v>431</v>
      </c>
      <c r="C366" s="324" t="s">
        <v>610</v>
      </c>
      <c r="D366" s="324"/>
      <c r="E366" s="324"/>
      <c r="F366" s="324"/>
      <c r="G366" s="324"/>
      <c r="H366" s="95">
        <f>((7.35+6.15+7.35+6.15)*1.5)-((0.8*1.5)+(6*0.5))</f>
        <v>36.299999999999997</v>
      </c>
    </row>
    <row r="367" spans="1:8">
      <c r="A367" s="333"/>
      <c r="B367" s="100" t="s">
        <v>411</v>
      </c>
      <c r="C367" s="324" t="s">
        <v>611</v>
      </c>
      <c r="D367" s="324"/>
      <c r="E367" s="324"/>
      <c r="F367" s="324"/>
      <c r="G367" s="324"/>
      <c r="H367" s="95">
        <f>((5.5+6.15+5.5+6.15)*1.5)-((0.8*1.5)+(3*0.5))</f>
        <v>32.249999999999993</v>
      </c>
    </row>
    <row r="368" spans="1:8">
      <c r="A368" s="333"/>
      <c r="B368" s="100" t="s">
        <v>414</v>
      </c>
      <c r="C368" s="324" t="s">
        <v>609</v>
      </c>
      <c r="D368" s="324"/>
      <c r="E368" s="324"/>
      <c r="F368" s="324"/>
      <c r="G368" s="324"/>
      <c r="H368" s="95">
        <f>((6.5+6.15+6.5+6.15)*1.5)-((0.8*1.5)+(6*0.5))</f>
        <v>33.749999999999993</v>
      </c>
    </row>
    <row r="369" spans="1:8">
      <c r="A369" s="333"/>
      <c r="B369" s="100" t="s">
        <v>432</v>
      </c>
      <c r="C369" s="324" t="s">
        <v>612</v>
      </c>
      <c r="D369" s="324"/>
      <c r="E369" s="324"/>
      <c r="F369" s="324"/>
      <c r="G369" s="324"/>
      <c r="H369" s="95">
        <f>((6.5+6.1+6.5+6.1)*1.5)-((0.8*1.5)+(6*0.5))</f>
        <v>33.6</v>
      </c>
    </row>
    <row r="370" spans="1:8">
      <c r="A370" s="333"/>
      <c r="B370" s="100" t="s">
        <v>413</v>
      </c>
      <c r="C370" s="324" t="s">
        <v>612</v>
      </c>
      <c r="D370" s="324"/>
      <c r="E370" s="324"/>
      <c r="F370" s="324"/>
      <c r="G370" s="324"/>
      <c r="H370" s="95">
        <f>((6.5+6.1+6.5+6.1)*1.5)-((0.8*1.5)+(6*0.5))</f>
        <v>33.6</v>
      </c>
    </row>
    <row r="371" spans="1:8">
      <c r="A371" s="333"/>
      <c r="B371" s="100" t="s">
        <v>433</v>
      </c>
      <c r="C371" s="324" t="s">
        <v>612</v>
      </c>
      <c r="D371" s="324"/>
      <c r="E371" s="324"/>
      <c r="F371" s="324"/>
      <c r="G371" s="324"/>
      <c r="H371" s="95">
        <f>((6.5+6.1+6.5+6.1)*1.5)-((0.8*1.5)+(6*0.5))</f>
        <v>33.6</v>
      </c>
    </row>
    <row r="372" spans="1:8">
      <c r="A372" s="333"/>
      <c r="B372" s="100" t="s">
        <v>429</v>
      </c>
      <c r="C372" s="324" t="s">
        <v>612</v>
      </c>
      <c r="D372" s="324"/>
      <c r="E372" s="324"/>
      <c r="F372" s="324"/>
      <c r="G372" s="324"/>
      <c r="H372" s="95">
        <f>((6.5+6.1+6.5+6.1)*1.5)-((0.8*1.5)+(6*0.5))</f>
        <v>33.6</v>
      </c>
    </row>
    <row r="373" spans="1:8">
      <c r="A373" s="333"/>
      <c r="B373" s="100" t="s">
        <v>426</v>
      </c>
      <c r="C373" s="324" t="s">
        <v>613</v>
      </c>
      <c r="D373" s="324"/>
      <c r="E373" s="324"/>
      <c r="F373" s="324"/>
      <c r="G373" s="324"/>
      <c r="H373" s="95">
        <f>((5.35+4.45+5.35+4.45)*1.5)-((0.8*1.5)+(4.3*0.5))</f>
        <v>26.05</v>
      </c>
    </row>
    <row r="374" spans="1:8">
      <c r="A374" s="333"/>
      <c r="B374" s="100" t="s">
        <v>434</v>
      </c>
      <c r="C374" s="324" t="s">
        <v>614</v>
      </c>
      <c r="D374" s="324"/>
      <c r="E374" s="324"/>
      <c r="F374" s="324"/>
      <c r="G374" s="324"/>
      <c r="H374" s="95">
        <f>((3+6.15+3+6.15)*1.5)-((1*1.5)+(2.9*0.5))</f>
        <v>24.500000000000004</v>
      </c>
    </row>
    <row r="375" spans="1:8" ht="30" customHeight="1">
      <c r="A375" s="333"/>
      <c r="B375" s="100" t="s">
        <v>435</v>
      </c>
      <c r="C375" s="324" t="s">
        <v>615</v>
      </c>
      <c r="D375" s="324"/>
      <c r="E375" s="324"/>
      <c r="F375" s="324"/>
      <c r="G375" s="324"/>
      <c r="H375" s="95">
        <f>((3+6+6+4.17+3+1.83+3)*1.5)-((0.8*1.5*3)+(2.8*0.5))</f>
        <v>35.5</v>
      </c>
    </row>
    <row r="376" spans="1:8" ht="30" customHeight="1">
      <c r="A376" s="333"/>
      <c r="B376" s="100" t="s">
        <v>453</v>
      </c>
      <c r="C376" s="324" t="s">
        <v>474</v>
      </c>
      <c r="D376" s="324"/>
      <c r="E376" s="324"/>
      <c r="F376" s="324"/>
      <c r="G376" s="324"/>
      <c r="H376" s="95">
        <f>((6.15+6.15+5.05+5.05)*2.5)+((0.8*2.1*2)+(3*1.2*2))</f>
        <v>66.56</v>
      </c>
    </row>
    <row r="377" spans="1:8" ht="33" customHeight="1">
      <c r="A377" s="333"/>
      <c r="B377" s="100" t="s">
        <v>456</v>
      </c>
      <c r="C377" s="324" t="s">
        <v>620</v>
      </c>
      <c r="D377" s="324"/>
      <c r="E377" s="324"/>
      <c r="F377" s="324"/>
      <c r="G377" s="324"/>
      <c r="H377" s="95">
        <f>((11.2+5.5+11.2+5.5)+1.5)-((0.8*2.1*8)+(1*2.3)+(3.65*1.2)+(1*0.5*2)+(3*1.2)+(1.93*1.45))</f>
        <v>7.3814999999999991</v>
      </c>
    </row>
    <row r="378" spans="1:8" ht="28.5" customHeight="1">
      <c r="A378" s="333"/>
      <c r="B378" s="100" t="s">
        <v>436</v>
      </c>
      <c r="C378" s="324" t="s">
        <v>621</v>
      </c>
      <c r="D378" s="324"/>
      <c r="E378" s="324"/>
      <c r="F378" s="324"/>
      <c r="G378" s="324"/>
      <c r="H378" s="95">
        <f>((5.9+6+3.25+8.8+2.93)*1.5)-((0.8*1.5)+((1.9+2.4)*0.5))</f>
        <v>36.970000000000006</v>
      </c>
    </row>
    <row r="379" spans="1:8">
      <c r="A379" s="333"/>
      <c r="B379" s="100" t="s">
        <v>437</v>
      </c>
      <c r="C379" s="324" t="s">
        <v>622</v>
      </c>
      <c r="D379" s="324"/>
      <c r="E379" s="324"/>
      <c r="F379" s="324"/>
      <c r="G379" s="324"/>
      <c r="H379" s="95">
        <f>((6+5.05+6+5.05)*1.5)-((0.8*1.5*2)+(3*0.5))</f>
        <v>29.250000000000007</v>
      </c>
    </row>
    <row r="380" spans="1:8">
      <c r="A380" s="333"/>
      <c r="B380" s="100" t="s">
        <v>417</v>
      </c>
      <c r="C380" s="324" t="s">
        <v>623</v>
      </c>
      <c r="D380" s="324"/>
      <c r="E380" s="324"/>
      <c r="F380" s="324"/>
      <c r="G380" s="324"/>
      <c r="H380" s="95">
        <f>((8.35+5.4+8.35+5.4)*1.5)-((0.8*1.5*4)+(3.75*0.5))</f>
        <v>34.575000000000003</v>
      </c>
    </row>
    <row r="381" spans="1:8" ht="26.25" customHeight="1">
      <c r="A381" s="333"/>
      <c r="B381" s="100" t="s">
        <v>460</v>
      </c>
      <c r="C381" s="324" t="s">
        <v>624</v>
      </c>
      <c r="D381" s="324"/>
      <c r="E381" s="324"/>
      <c r="F381" s="324"/>
      <c r="G381" s="324"/>
      <c r="H381" s="95">
        <f>((27.6+4.45+27.6+6.15+2.85+6.15)*1.5)-((0.8*1.5*12)+(1*1.5))</f>
        <v>96.300000000000011</v>
      </c>
    </row>
    <row r="382" spans="1:8" ht="29.25" customHeight="1">
      <c r="A382" s="333"/>
      <c r="B382" s="100" t="s">
        <v>461</v>
      </c>
      <c r="C382" s="324" t="s">
        <v>625</v>
      </c>
      <c r="D382" s="324"/>
      <c r="E382" s="324"/>
      <c r="F382" s="324"/>
      <c r="G382" s="324"/>
      <c r="H382" s="95">
        <f>((10.6+9.15+6.15+6.3)*1.5)-((0.8*1.5*4)+(1*1.5)+((2.8+2.7)*0.5))</f>
        <v>39.25</v>
      </c>
    </row>
    <row r="383" spans="1:8">
      <c r="A383" s="333"/>
      <c r="B383" s="100" t="s">
        <v>492</v>
      </c>
      <c r="C383" s="324" t="s">
        <v>656</v>
      </c>
      <c r="D383" s="324"/>
      <c r="E383" s="324"/>
      <c r="F383" s="324"/>
      <c r="G383" s="324"/>
      <c r="H383" s="95">
        <f>((4.5+3.25+4.5+3.25)*1.5)-((0.8*1.5)+(2*0.5))</f>
        <v>21.05</v>
      </c>
    </row>
    <row r="384" spans="1:8">
      <c r="A384" s="333"/>
      <c r="B384" s="100" t="s">
        <v>652</v>
      </c>
      <c r="C384" s="324" t="s">
        <v>657</v>
      </c>
      <c r="D384" s="324"/>
      <c r="E384" s="324"/>
      <c r="F384" s="324"/>
      <c r="G384" s="324"/>
      <c r="H384" s="95">
        <f>((2.3+3.25+2.5+3.25)*1.5)-((0.8*1.5)+(2*0.5))</f>
        <v>14.750000000000004</v>
      </c>
    </row>
    <row r="385" spans="1:8" ht="30" customHeight="1">
      <c r="A385" s="333"/>
      <c r="B385" s="100" t="s">
        <v>653</v>
      </c>
      <c r="C385" s="324" t="s">
        <v>658</v>
      </c>
      <c r="D385" s="324"/>
      <c r="E385" s="324"/>
      <c r="F385" s="324"/>
      <c r="G385" s="324"/>
      <c r="H385" s="95">
        <f>((5.15+2.95+2.15+0.15+3+3.25)*1.5)-((0.8*1.5)+(2*0.5*2))</f>
        <v>21.775000000000002</v>
      </c>
    </row>
    <row r="386" spans="1:8">
      <c r="A386" s="333"/>
      <c r="B386" s="100" t="s">
        <v>654</v>
      </c>
      <c r="C386" s="324" t="s">
        <v>660</v>
      </c>
      <c r="D386" s="324"/>
      <c r="E386" s="324"/>
      <c r="F386" s="324"/>
      <c r="G386" s="324"/>
      <c r="H386" s="95">
        <f>((1.4+2.5+1.4+2.5)*1.5)-(0.8*1.5)</f>
        <v>10.5</v>
      </c>
    </row>
    <row r="387" spans="1:8">
      <c r="A387" s="333"/>
      <c r="B387" s="100" t="s">
        <v>655</v>
      </c>
      <c r="C387" s="324" t="s">
        <v>659</v>
      </c>
      <c r="D387" s="324"/>
      <c r="E387" s="324"/>
      <c r="F387" s="324"/>
      <c r="G387" s="324"/>
      <c r="H387" s="95">
        <f>((6.4+1.1+6.4+1.1)*1.5)-(0.8*1.5*6)</f>
        <v>15.299999999999999</v>
      </c>
    </row>
    <row r="388" spans="1:8" ht="25.5" customHeight="1">
      <c r="A388" s="333"/>
      <c r="B388" s="100" t="s">
        <v>462</v>
      </c>
      <c r="C388" s="324" t="s">
        <v>626</v>
      </c>
      <c r="D388" s="324"/>
      <c r="E388" s="324"/>
      <c r="F388" s="324"/>
      <c r="G388" s="324"/>
      <c r="H388" s="95">
        <f>((54.5+4.8+12.75+4.8+12.75)*1.5)-((0.8*1.5*6)+(3*0.5*12)+(2*0.5*4))</f>
        <v>105.19999999999997</v>
      </c>
    </row>
    <row r="389" spans="1:8" ht="25.5" customHeight="1">
      <c r="A389" s="333"/>
      <c r="B389" s="100" t="s">
        <v>394</v>
      </c>
      <c r="C389" s="324" t="s">
        <v>643</v>
      </c>
      <c r="D389" s="324"/>
      <c r="E389" s="324"/>
      <c r="F389" s="324"/>
      <c r="G389" s="324"/>
      <c r="H389" s="95">
        <f>((2.75+14.05+3.26+11.82+5.84)*1.5)-(((1.9+3+3.75+1.93)*0.5)+(0.8*2.1))</f>
        <v>49.61</v>
      </c>
    </row>
    <row r="390" spans="1:8" ht="30.75" customHeight="1">
      <c r="A390" s="333"/>
      <c r="B390" s="100" t="s">
        <v>644</v>
      </c>
      <c r="C390" s="324" t="s">
        <v>645</v>
      </c>
      <c r="D390" s="324"/>
      <c r="E390" s="324"/>
      <c r="F390" s="324"/>
      <c r="G390" s="324"/>
      <c r="H390" s="95">
        <f>((11.85+3.15+48.8+17.05)*1.5)-(((4.33+(3*9)+2.8+2.7+1.9)*0.5)+(0.8*2.1))</f>
        <v>100.22999999999999</v>
      </c>
    </row>
    <row r="391" spans="1:8">
      <c r="A391" s="334"/>
      <c r="B391" s="87"/>
      <c r="C391" s="319" t="s">
        <v>177</v>
      </c>
      <c r="D391" s="319"/>
      <c r="E391" s="319"/>
      <c r="F391" s="319"/>
      <c r="G391" s="319"/>
      <c r="H391" s="96">
        <f>SUM(H364:H390)</f>
        <v>1038.9514999999999</v>
      </c>
    </row>
    <row r="392" spans="1:8" ht="31.5" customHeight="1">
      <c r="A392" s="347" t="str">
        <f>'PLANILHA ORÇAMENTARIA'!A84</f>
        <v>9.5</v>
      </c>
      <c r="B392" s="92" t="str">
        <f>'PLANILHA ORÇAMENTARIA'!B84</f>
        <v>REV-AZU-011</v>
      </c>
      <c r="C392" s="93" t="str">
        <f>'PLANILHA ORÇAMENTARIA'!C84</f>
        <v>SETOP</v>
      </c>
      <c r="D392" s="318" t="str">
        <f>'PLANILHA ORÇAMENTARIA'!D84</f>
        <v>Revestimento com azulejo branco (20x20cm), junta a prumo, assentamento com argamassa industrializada, inclusive rejuntamento</v>
      </c>
      <c r="E392" s="318"/>
      <c r="F392" s="318"/>
      <c r="G392" s="91" t="str">
        <f>'PLANILHA ORÇAMENTARIA'!E84</f>
        <v>m²</v>
      </c>
      <c r="H392" s="94">
        <f>H407</f>
        <v>448.5544999999999</v>
      </c>
    </row>
    <row r="393" spans="1:8" ht="30.75" customHeight="1">
      <c r="A393" s="347"/>
      <c r="B393" s="100" t="s">
        <v>449</v>
      </c>
      <c r="C393" s="324" t="s">
        <v>636</v>
      </c>
      <c r="D393" s="324"/>
      <c r="E393" s="324"/>
      <c r="F393" s="324"/>
      <c r="G393" s="324"/>
      <c r="H393" s="95">
        <f>(((6+3.1+6+3.1)*2.8)+((4.9+4.9+1.4+1.1+1.1+1.1+1.1+2+2)*1.9))-((0.8+0.6+0.6+0.6+1)*2.8)</f>
        <v>78.11999999999999</v>
      </c>
    </row>
    <row r="394" spans="1:8" ht="30" customHeight="1">
      <c r="A394" s="347"/>
      <c r="B394" s="100" t="s">
        <v>450</v>
      </c>
      <c r="C394" s="324" t="s">
        <v>637</v>
      </c>
      <c r="D394" s="324"/>
      <c r="E394" s="324"/>
      <c r="F394" s="324"/>
      <c r="G394" s="324"/>
      <c r="H394" s="95">
        <f>(((6+3.1+3.62+1.65+2.38)*2.8)+(((3.62+3.62+1.35+1.35+1.1+1.1+1.45)*1.9))-((0.8+0.6+0.6+1)*2.8))</f>
        <v>64.320999999999998</v>
      </c>
    </row>
    <row r="395" spans="1:8">
      <c r="A395" s="347"/>
      <c r="B395" s="100" t="s">
        <v>451</v>
      </c>
      <c r="C395" s="324" t="s">
        <v>616</v>
      </c>
      <c r="D395" s="324"/>
      <c r="E395" s="324"/>
      <c r="F395" s="324"/>
      <c r="G395" s="324"/>
      <c r="H395" s="95">
        <f>((1.5+2.2+1.5+2.2)*2.8)-(1*2.1)</f>
        <v>18.619999999999997</v>
      </c>
    </row>
    <row r="396" spans="1:8">
      <c r="A396" s="347"/>
      <c r="B396" s="100" t="s">
        <v>452</v>
      </c>
      <c r="C396" s="324" t="s">
        <v>617</v>
      </c>
      <c r="D396" s="324"/>
      <c r="E396" s="324"/>
      <c r="F396" s="324"/>
      <c r="G396" s="324"/>
      <c r="H396" s="95">
        <f>((2.85+1.7+2.85+1.7)*2.8)-(0.8*2.1)</f>
        <v>23.799999999999997</v>
      </c>
    </row>
    <row r="397" spans="1:8">
      <c r="A397" s="347"/>
      <c r="B397" s="100" t="s">
        <v>439</v>
      </c>
      <c r="C397" s="324" t="s">
        <v>618</v>
      </c>
      <c r="D397" s="324"/>
      <c r="E397" s="324"/>
      <c r="F397" s="324"/>
      <c r="G397" s="324"/>
      <c r="H397" s="95">
        <f>((3.15+2.2+3.15+2.2)*2.5)-((0.8*2.1)+(1*0.5))</f>
        <v>24.57</v>
      </c>
    </row>
    <row r="398" spans="1:8">
      <c r="A398" s="347"/>
      <c r="B398" s="100" t="s">
        <v>455</v>
      </c>
      <c r="C398" s="324" t="s">
        <v>618</v>
      </c>
      <c r="D398" s="324"/>
      <c r="E398" s="324"/>
      <c r="F398" s="324"/>
      <c r="G398" s="324"/>
      <c r="H398" s="95">
        <f>((3.15+2.2+3.15+2.2)*2.5)-((0.8*2.1)+(1*0.5))</f>
        <v>24.57</v>
      </c>
    </row>
    <row r="399" spans="1:8">
      <c r="A399" s="347"/>
      <c r="B399" s="100" t="s">
        <v>441</v>
      </c>
      <c r="C399" s="324" t="s">
        <v>619</v>
      </c>
      <c r="D399" s="324"/>
      <c r="E399" s="324"/>
      <c r="F399" s="324"/>
      <c r="G399" s="324"/>
      <c r="H399" s="95">
        <f>((3.15+1.3+3.15+1.3)*2.5)-((0.8*2.1)+(1*0.5))</f>
        <v>20.07</v>
      </c>
    </row>
    <row r="400" spans="1:8" ht="30.75" customHeight="1">
      <c r="A400" s="347"/>
      <c r="B400" s="100" t="s">
        <v>396</v>
      </c>
      <c r="C400" s="324" t="s">
        <v>627</v>
      </c>
      <c r="D400" s="324"/>
      <c r="E400" s="324"/>
      <c r="F400" s="324"/>
      <c r="G400" s="324"/>
      <c r="H400" s="95">
        <f>((5.4+4.8+8.3+2.75+2.5)*2.8)-((3*1)+(0.8*2.1*2)+((1.7+2.15)*1.45))</f>
        <v>54.557500000000005</v>
      </c>
    </row>
    <row r="401" spans="1:8" ht="32.25" customHeight="1">
      <c r="A401" s="347"/>
      <c r="B401" s="100" t="s">
        <v>506</v>
      </c>
      <c r="C401" s="324" t="s">
        <v>628</v>
      </c>
      <c r="D401" s="324"/>
      <c r="E401" s="324"/>
      <c r="F401" s="324"/>
      <c r="G401" s="324"/>
      <c r="H401" s="95">
        <f>((2.5+3.35+1.8+1.15+0.7+2.25)*2.5)-((0.8*2.1)+(1*0.5))</f>
        <v>27.194999999999997</v>
      </c>
    </row>
    <row r="402" spans="1:8" ht="32.25" customHeight="1">
      <c r="A402" s="347"/>
      <c r="B402" s="100" t="s">
        <v>507</v>
      </c>
      <c r="C402" s="324" t="s">
        <v>629</v>
      </c>
      <c r="D402" s="324"/>
      <c r="E402" s="324"/>
      <c r="F402" s="324"/>
      <c r="G402" s="324"/>
      <c r="H402" s="95">
        <f>((2.1+1+0.7+0.9+1.4+1.9)*2.5)-((0.8*2.1)+(1*0.5))</f>
        <v>17.82</v>
      </c>
    </row>
    <row r="403" spans="1:8" ht="27" customHeight="1">
      <c r="A403" s="347"/>
      <c r="B403" s="100" t="s">
        <v>640</v>
      </c>
      <c r="C403" s="324" t="s">
        <v>638</v>
      </c>
      <c r="D403" s="324"/>
      <c r="E403" s="324"/>
      <c r="F403" s="324"/>
      <c r="G403" s="324"/>
      <c r="H403" s="95">
        <f>(((3+2.5+3+2.5)*2.5)+(0.93*2*2)+(1*0.78))-((0.8*2.1)+(1.4*0.4))</f>
        <v>29.759999999999998</v>
      </c>
    </row>
    <row r="404" spans="1:8">
      <c r="A404" s="347"/>
      <c r="B404" s="100" t="s">
        <v>641</v>
      </c>
      <c r="C404" s="324" t="s">
        <v>642</v>
      </c>
      <c r="D404" s="324"/>
      <c r="E404" s="324"/>
      <c r="F404" s="324"/>
      <c r="G404" s="324"/>
      <c r="H404" s="95">
        <f>((2+3+2+3)*2.8)-((0.8*2.1)+(1.93*1.3))</f>
        <v>23.811</v>
      </c>
    </row>
    <row r="405" spans="1:8">
      <c r="A405" s="347"/>
      <c r="B405" s="100" t="s">
        <v>418</v>
      </c>
      <c r="C405" s="324" t="s">
        <v>635</v>
      </c>
      <c r="D405" s="324"/>
      <c r="E405" s="324"/>
      <c r="F405" s="324"/>
      <c r="G405" s="324"/>
      <c r="H405" s="95">
        <f>((1.9+1.45+1.9+1.45)*2.5)-((0.8*2.1)+(1.9*2))</f>
        <v>11.27</v>
      </c>
    </row>
    <row r="406" spans="1:8">
      <c r="A406" s="347"/>
      <c r="B406" s="100" t="s">
        <v>459</v>
      </c>
      <c r="C406" s="324" t="s">
        <v>634</v>
      </c>
      <c r="D406" s="324"/>
      <c r="E406" s="324"/>
      <c r="F406" s="324"/>
      <c r="G406" s="324"/>
      <c r="H406" s="95">
        <f>((3.55+3+3.55+3)*2.5)-((0.8*2.1)+(1*0.5*2))</f>
        <v>30.07</v>
      </c>
    </row>
    <row r="407" spans="1:8">
      <c r="A407" s="347"/>
      <c r="B407" s="87"/>
      <c r="C407" s="319" t="s">
        <v>177</v>
      </c>
      <c r="D407" s="319"/>
      <c r="E407" s="319"/>
      <c r="F407" s="319"/>
      <c r="G407" s="319"/>
      <c r="H407" s="96">
        <f>SUM(H393:H406)</f>
        <v>448.5544999999999</v>
      </c>
    </row>
    <row r="408" spans="1:8">
      <c r="A408" s="326"/>
      <c r="B408" s="327"/>
      <c r="C408" s="327"/>
      <c r="D408" s="327"/>
      <c r="E408" s="327"/>
      <c r="F408" s="327"/>
      <c r="G408" s="327"/>
      <c r="H408" s="328"/>
    </row>
    <row r="409" spans="1:8">
      <c r="A409" s="73">
        <f>'PLANILHA ORÇAMENTARIA'!A86</f>
        <v>10</v>
      </c>
      <c r="B409" s="112"/>
      <c r="C409" s="112"/>
      <c r="D409" s="112" t="s">
        <v>83</v>
      </c>
      <c r="E409" s="112"/>
      <c r="F409" s="112"/>
      <c r="G409" s="112"/>
      <c r="H409" s="113"/>
    </row>
    <row r="410" spans="1:8">
      <c r="A410" s="76" t="str">
        <f>'PLANILHA ORÇAMENTARIA'!A87</f>
        <v>10.1</v>
      </c>
      <c r="B410" s="371"/>
      <c r="C410" s="372"/>
      <c r="D410" s="373" t="s">
        <v>36</v>
      </c>
      <c r="E410" s="374"/>
      <c r="F410" s="374"/>
      <c r="G410" s="374"/>
      <c r="H410" s="375"/>
    </row>
    <row r="411" spans="1:8" ht="27.75" customHeight="1">
      <c r="A411" s="347" t="str">
        <f>'PLANILHA ORÇAMENTARIA'!A88</f>
        <v>10.1.1</v>
      </c>
      <c r="B411" s="93" t="str">
        <f>'PLANILHA ORÇAMENTARIA'!B88</f>
        <v>PIS-CER-010</v>
      </c>
      <c r="C411" s="93" t="str">
        <f>'PLANILHA ORÇAMENTARIA'!C88</f>
        <v>SETOP</v>
      </c>
      <c r="D411" s="318" t="str">
        <f>'PLANILHA ORÇAMENTARIA'!D88</f>
        <v>Piso cerâmico pei-5 - 60 x 60 cm  antiderrapante (preço médio), assentado com argamassa pré-fabricada, inclusive rejuntamento.</v>
      </c>
      <c r="E411" s="318"/>
      <c r="F411" s="318"/>
      <c r="G411" s="91" t="str">
        <f>'PLANILHA ORÇAMENTARIA'!E88</f>
        <v>m²</v>
      </c>
      <c r="H411" s="94">
        <f>H447</f>
        <v>1122.9100000000001</v>
      </c>
    </row>
    <row r="412" spans="1:8">
      <c r="A412" s="347"/>
      <c r="B412" s="100" t="s">
        <v>428</v>
      </c>
      <c r="C412" s="314" t="s">
        <v>491</v>
      </c>
      <c r="D412" s="314"/>
      <c r="E412" s="314"/>
      <c r="F412" s="314"/>
      <c r="G412" s="314"/>
      <c r="H412" s="101">
        <v>39</v>
      </c>
    </row>
    <row r="413" spans="1:8">
      <c r="A413" s="347"/>
      <c r="B413" s="100" t="s">
        <v>430</v>
      </c>
      <c r="C413" s="314" t="s">
        <v>491</v>
      </c>
      <c r="D413" s="314"/>
      <c r="E413" s="314"/>
      <c r="F413" s="314"/>
      <c r="G413" s="314"/>
      <c r="H413" s="101">
        <v>39</v>
      </c>
    </row>
    <row r="414" spans="1:8">
      <c r="A414" s="347"/>
      <c r="B414" s="100" t="s">
        <v>431</v>
      </c>
      <c r="C414" s="314" t="s">
        <v>491</v>
      </c>
      <c r="D414" s="314"/>
      <c r="E414" s="314"/>
      <c r="F414" s="314"/>
      <c r="G414" s="314"/>
      <c r="H414" s="101">
        <v>44.1</v>
      </c>
    </row>
    <row r="415" spans="1:8">
      <c r="A415" s="347"/>
      <c r="B415" s="100" t="s">
        <v>411</v>
      </c>
      <c r="C415" s="314" t="s">
        <v>491</v>
      </c>
      <c r="D415" s="314"/>
      <c r="E415" s="314"/>
      <c r="F415" s="314"/>
      <c r="G415" s="314"/>
      <c r="H415" s="101">
        <v>36</v>
      </c>
    </row>
    <row r="416" spans="1:8">
      <c r="A416" s="347"/>
      <c r="B416" s="100" t="s">
        <v>414</v>
      </c>
      <c r="C416" s="314" t="s">
        <v>491</v>
      </c>
      <c r="D416" s="314"/>
      <c r="E416" s="314"/>
      <c r="F416" s="314"/>
      <c r="G416" s="314"/>
      <c r="H416" s="101">
        <v>39</v>
      </c>
    </row>
    <row r="417" spans="1:8">
      <c r="A417" s="347"/>
      <c r="B417" s="100" t="s">
        <v>432</v>
      </c>
      <c r="C417" s="314" t="s">
        <v>491</v>
      </c>
      <c r="D417" s="314"/>
      <c r="E417" s="314"/>
      <c r="F417" s="314"/>
      <c r="G417" s="314"/>
      <c r="H417" s="101">
        <v>39</v>
      </c>
    </row>
    <row r="418" spans="1:8">
      <c r="A418" s="347"/>
      <c r="B418" s="100" t="s">
        <v>413</v>
      </c>
      <c r="C418" s="314" t="s">
        <v>491</v>
      </c>
      <c r="D418" s="314"/>
      <c r="E418" s="314"/>
      <c r="F418" s="314"/>
      <c r="G418" s="314"/>
      <c r="H418" s="101">
        <v>39</v>
      </c>
    </row>
    <row r="419" spans="1:8">
      <c r="A419" s="347"/>
      <c r="B419" s="100" t="s">
        <v>433</v>
      </c>
      <c r="C419" s="314" t="s">
        <v>491</v>
      </c>
      <c r="D419" s="314"/>
      <c r="E419" s="314"/>
      <c r="F419" s="314"/>
      <c r="G419" s="314"/>
      <c r="H419" s="101">
        <v>39</v>
      </c>
    </row>
    <row r="420" spans="1:8">
      <c r="A420" s="347"/>
      <c r="B420" s="100" t="s">
        <v>429</v>
      </c>
      <c r="C420" s="314" t="s">
        <v>491</v>
      </c>
      <c r="D420" s="314"/>
      <c r="E420" s="314"/>
      <c r="F420" s="314"/>
      <c r="G420" s="314"/>
      <c r="H420" s="101">
        <v>39</v>
      </c>
    </row>
    <row r="421" spans="1:8">
      <c r="A421" s="347"/>
      <c r="B421" s="100" t="s">
        <v>449</v>
      </c>
      <c r="C421" s="314" t="s">
        <v>491</v>
      </c>
      <c r="D421" s="314"/>
      <c r="E421" s="314"/>
      <c r="F421" s="314"/>
      <c r="G421" s="314"/>
      <c r="H421" s="101">
        <v>18.600000000000001</v>
      </c>
    </row>
    <row r="422" spans="1:8">
      <c r="A422" s="347"/>
      <c r="B422" s="100" t="s">
        <v>450</v>
      </c>
      <c r="C422" s="314" t="s">
        <v>491</v>
      </c>
      <c r="D422" s="314"/>
      <c r="E422" s="314"/>
      <c r="F422" s="314"/>
      <c r="G422" s="314"/>
      <c r="H422" s="101">
        <v>14.67</v>
      </c>
    </row>
    <row r="423" spans="1:8">
      <c r="A423" s="347"/>
      <c r="B423" s="100" t="s">
        <v>451</v>
      </c>
      <c r="C423" s="314" t="s">
        <v>491</v>
      </c>
      <c r="D423" s="314"/>
      <c r="E423" s="314"/>
      <c r="F423" s="314"/>
      <c r="G423" s="314"/>
      <c r="H423" s="101">
        <v>3.34</v>
      </c>
    </row>
    <row r="424" spans="1:8">
      <c r="A424" s="347"/>
      <c r="B424" s="100" t="s">
        <v>426</v>
      </c>
      <c r="C424" s="314" t="s">
        <v>491</v>
      </c>
      <c r="D424" s="314"/>
      <c r="E424" s="314"/>
      <c r="F424" s="314"/>
      <c r="G424" s="314"/>
      <c r="H424" s="101">
        <v>23.8</v>
      </c>
    </row>
    <row r="425" spans="1:8">
      <c r="A425" s="347"/>
      <c r="B425" s="100" t="s">
        <v>434</v>
      </c>
      <c r="C425" s="314" t="s">
        <v>491</v>
      </c>
      <c r="D425" s="314"/>
      <c r="E425" s="314"/>
      <c r="F425" s="314"/>
      <c r="G425" s="314"/>
      <c r="H425" s="101">
        <v>18</v>
      </c>
    </row>
    <row r="426" spans="1:8">
      <c r="A426" s="347"/>
      <c r="B426" s="100" t="s">
        <v>435</v>
      </c>
      <c r="C426" s="314" t="s">
        <v>491</v>
      </c>
      <c r="D426" s="314"/>
      <c r="E426" s="314"/>
      <c r="F426" s="314"/>
      <c r="G426" s="314"/>
      <c r="H426" s="101">
        <v>30.36</v>
      </c>
    </row>
    <row r="427" spans="1:8">
      <c r="A427" s="347"/>
      <c r="B427" s="100" t="s">
        <v>452</v>
      </c>
      <c r="C427" s="314" t="s">
        <v>491</v>
      </c>
      <c r="D427" s="314"/>
      <c r="E427" s="314"/>
      <c r="F427" s="314"/>
      <c r="G427" s="314"/>
      <c r="H427" s="101">
        <v>4.79</v>
      </c>
    </row>
    <row r="428" spans="1:8">
      <c r="A428" s="347"/>
      <c r="B428" s="100" t="s">
        <v>453</v>
      </c>
      <c r="C428" s="314" t="s">
        <v>491</v>
      </c>
      <c r="D428" s="314"/>
      <c r="E428" s="314"/>
      <c r="F428" s="314"/>
      <c r="G428" s="314"/>
      <c r="H428" s="101">
        <v>31.06</v>
      </c>
    </row>
    <row r="429" spans="1:8">
      <c r="A429" s="347"/>
      <c r="B429" s="100" t="s">
        <v>396</v>
      </c>
      <c r="C429" s="314" t="s">
        <v>491</v>
      </c>
      <c r="D429" s="314"/>
      <c r="E429" s="314"/>
      <c r="F429" s="314"/>
      <c r="G429" s="314"/>
      <c r="H429" s="101">
        <v>35.549999999999997</v>
      </c>
    </row>
    <row r="430" spans="1:8">
      <c r="A430" s="347"/>
      <c r="B430" s="100" t="s">
        <v>506</v>
      </c>
      <c r="C430" s="314" t="s">
        <v>491</v>
      </c>
      <c r="D430" s="314"/>
      <c r="E430" s="314"/>
      <c r="F430" s="314"/>
      <c r="G430" s="314"/>
      <c r="H430" s="101">
        <v>7.57</v>
      </c>
    </row>
    <row r="431" spans="1:8">
      <c r="A431" s="347"/>
      <c r="B431" s="100" t="s">
        <v>708</v>
      </c>
      <c r="C431" s="314" t="s">
        <v>491</v>
      </c>
      <c r="D431" s="314"/>
      <c r="E431" s="314"/>
      <c r="F431" s="314"/>
      <c r="G431" s="314"/>
      <c r="H431" s="101">
        <v>3.36</v>
      </c>
    </row>
    <row r="432" spans="1:8">
      <c r="A432" s="347"/>
      <c r="B432" s="100" t="s">
        <v>439</v>
      </c>
      <c r="C432" s="314" t="s">
        <v>491</v>
      </c>
      <c r="D432" s="314"/>
      <c r="E432" s="314"/>
      <c r="F432" s="314"/>
      <c r="G432" s="314"/>
      <c r="H432" s="101">
        <v>6.93</v>
      </c>
    </row>
    <row r="433" spans="1:8">
      <c r="A433" s="347"/>
      <c r="B433" s="100" t="s">
        <v>455</v>
      </c>
      <c r="C433" s="314" t="s">
        <v>491</v>
      </c>
      <c r="D433" s="314"/>
      <c r="E433" s="314"/>
      <c r="F433" s="314"/>
      <c r="G433" s="314"/>
      <c r="H433" s="101">
        <v>6.93</v>
      </c>
    </row>
    <row r="434" spans="1:8">
      <c r="A434" s="347"/>
      <c r="B434" s="100" t="s">
        <v>441</v>
      </c>
      <c r="C434" s="314" t="s">
        <v>491</v>
      </c>
      <c r="D434" s="314"/>
      <c r="E434" s="314"/>
      <c r="F434" s="314"/>
      <c r="G434" s="314"/>
      <c r="H434" s="101">
        <v>4.09</v>
      </c>
    </row>
    <row r="435" spans="1:8">
      <c r="A435" s="347"/>
      <c r="B435" s="100" t="s">
        <v>456</v>
      </c>
      <c r="C435" s="314" t="s">
        <v>491</v>
      </c>
      <c r="D435" s="314"/>
      <c r="E435" s="314"/>
      <c r="F435" s="314"/>
      <c r="G435" s="314"/>
      <c r="H435" s="101">
        <v>61.6</v>
      </c>
    </row>
    <row r="436" spans="1:8">
      <c r="A436" s="347"/>
      <c r="B436" s="100" t="s">
        <v>436</v>
      </c>
      <c r="C436" s="314" t="s">
        <v>491</v>
      </c>
      <c r="D436" s="314"/>
      <c r="E436" s="314"/>
      <c r="F436" s="314"/>
      <c r="G436" s="314"/>
      <c r="H436" s="101">
        <v>44.11</v>
      </c>
    </row>
    <row r="437" spans="1:8">
      <c r="A437" s="347"/>
      <c r="B437" s="100" t="s">
        <v>437</v>
      </c>
      <c r="C437" s="314" t="s">
        <v>491</v>
      </c>
      <c r="D437" s="314"/>
      <c r="E437" s="314"/>
      <c r="F437" s="314"/>
      <c r="G437" s="314"/>
      <c r="H437" s="101">
        <v>30.3</v>
      </c>
    </row>
    <row r="438" spans="1:8">
      <c r="A438" s="347"/>
      <c r="B438" s="100" t="s">
        <v>417</v>
      </c>
      <c r="C438" s="314" t="s">
        <v>491</v>
      </c>
      <c r="D438" s="314"/>
      <c r="E438" s="314"/>
      <c r="F438" s="314"/>
      <c r="G438" s="314"/>
      <c r="H438" s="101">
        <v>45.09</v>
      </c>
    </row>
    <row r="439" spans="1:8">
      <c r="A439" s="347"/>
      <c r="B439" s="100" t="s">
        <v>640</v>
      </c>
      <c r="C439" s="314" t="s">
        <v>491</v>
      </c>
      <c r="D439" s="314"/>
      <c r="E439" s="314"/>
      <c r="F439" s="314"/>
      <c r="G439" s="314"/>
      <c r="H439" s="101">
        <v>7.5</v>
      </c>
    </row>
    <row r="440" spans="1:8">
      <c r="A440" s="347"/>
      <c r="B440" s="100" t="s">
        <v>641</v>
      </c>
      <c r="C440" s="314" t="s">
        <v>491</v>
      </c>
      <c r="D440" s="314"/>
      <c r="E440" s="314"/>
      <c r="F440" s="314"/>
      <c r="G440" s="314"/>
      <c r="H440" s="101">
        <v>6</v>
      </c>
    </row>
    <row r="441" spans="1:8">
      <c r="A441" s="347"/>
      <c r="B441" s="100" t="s">
        <v>418</v>
      </c>
      <c r="C441" s="314" t="s">
        <v>491</v>
      </c>
      <c r="D441" s="314"/>
      <c r="E441" s="314"/>
      <c r="F441" s="314"/>
      <c r="G441" s="314"/>
      <c r="H441" s="101">
        <v>2.76</v>
      </c>
    </row>
    <row r="442" spans="1:8">
      <c r="A442" s="347"/>
      <c r="B442" s="100" t="s">
        <v>459</v>
      </c>
      <c r="C442" s="314" t="s">
        <v>491</v>
      </c>
      <c r="D442" s="314"/>
      <c r="E442" s="314"/>
      <c r="F442" s="314"/>
      <c r="G442" s="314"/>
      <c r="H442" s="101">
        <v>10.65</v>
      </c>
    </row>
    <row r="443" spans="1:8">
      <c r="A443" s="347"/>
      <c r="B443" s="100" t="s">
        <v>460</v>
      </c>
      <c r="C443" s="314" t="s">
        <v>491</v>
      </c>
      <c r="D443" s="314"/>
      <c r="E443" s="314"/>
      <c r="F443" s="314"/>
      <c r="G443" s="314"/>
      <c r="H443" s="101">
        <v>122.82</v>
      </c>
    </row>
    <row r="444" spans="1:8">
      <c r="A444" s="347"/>
      <c r="B444" s="100" t="s">
        <v>461</v>
      </c>
      <c r="C444" s="314" t="s">
        <v>491</v>
      </c>
      <c r="D444" s="314"/>
      <c r="E444" s="314"/>
      <c r="F444" s="314"/>
      <c r="G444" s="314"/>
      <c r="H444" s="101">
        <v>96.99</v>
      </c>
    </row>
    <row r="445" spans="1:8">
      <c r="A445" s="347"/>
      <c r="B445" s="100" t="s">
        <v>492</v>
      </c>
      <c r="C445" s="314" t="s">
        <v>491</v>
      </c>
      <c r="D445" s="314"/>
      <c r="E445" s="314"/>
      <c r="F445" s="314"/>
      <c r="G445" s="314"/>
      <c r="H445" s="101">
        <v>14.62</v>
      </c>
    </row>
    <row r="446" spans="1:8">
      <c r="A446" s="347"/>
      <c r="B446" s="100" t="s">
        <v>462</v>
      </c>
      <c r="C446" s="314" t="s">
        <v>491</v>
      </c>
      <c r="D446" s="314"/>
      <c r="E446" s="314"/>
      <c r="F446" s="314"/>
      <c r="G446" s="314"/>
      <c r="H446" s="101">
        <f>92.79+25.53</f>
        <v>118.32000000000001</v>
      </c>
    </row>
    <row r="447" spans="1:8">
      <c r="A447" s="347"/>
      <c r="B447" s="148"/>
      <c r="C447" s="319" t="s">
        <v>177</v>
      </c>
      <c r="D447" s="319"/>
      <c r="E447" s="319"/>
      <c r="F447" s="319"/>
      <c r="G447" s="319"/>
      <c r="H447" s="96">
        <f>SUM(H412:H446)</f>
        <v>1122.9100000000001</v>
      </c>
    </row>
    <row r="448" spans="1:8">
      <c r="A448" s="320" t="str">
        <f>'PLANILHA ORÇAMENTARIA'!A89</f>
        <v>10.1.2</v>
      </c>
      <c r="B448" s="92" t="str">
        <f>'PLANILHA ORÇAMENTARIA'!B89</f>
        <v>PIS-CON-015</v>
      </c>
      <c r="C448" s="93" t="str">
        <f>'PLANILHA ORÇAMENTARIA'!C89</f>
        <v>SETOP</v>
      </c>
      <c r="D448" s="318" t="str">
        <f>'PLANILHA ORÇAMENTARIA'!D89</f>
        <v>Contrapiso desempenado com argamassa, traço 1:3 (cimento e areia), esp. 30mm</v>
      </c>
      <c r="E448" s="318"/>
      <c r="F448" s="318"/>
      <c r="G448" s="91" t="str">
        <f>'PLANILHA ORÇAMENTARIA'!E89</f>
        <v>m²</v>
      </c>
      <c r="H448" s="94">
        <f>H454</f>
        <v>169.55</v>
      </c>
    </row>
    <row r="449" spans="1:8">
      <c r="A449" s="321"/>
      <c r="B449" s="100" t="s">
        <v>449</v>
      </c>
      <c r="C449" s="314" t="s">
        <v>491</v>
      </c>
      <c r="D449" s="314"/>
      <c r="E449" s="314"/>
      <c r="F449" s="314"/>
      <c r="G449" s="314"/>
      <c r="H449" s="101">
        <v>18.600000000000001</v>
      </c>
    </row>
    <row r="450" spans="1:8">
      <c r="A450" s="321"/>
      <c r="B450" s="100" t="s">
        <v>450</v>
      </c>
      <c r="C450" s="314" t="s">
        <v>491</v>
      </c>
      <c r="D450" s="314"/>
      <c r="E450" s="314"/>
      <c r="F450" s="314"/>
      <c r="G450" s="314"/>
      <c r="H450" s="101">
        <v>14.67</v>
      </c>
    </row>
    <row r="451" spans="1:8">
      <c r="A451" s="321"/>
      <c r="B451" s="100" t="s">
        <v>451</v>
      </c>
      <c r="C451" s="314" t="s">
        <v>491</v>
      </c>
      <c r="D451" s="314"/>
      <c r="E451" s="314"/>
      <c r="F451" s="314"/>
      <c r="G451" s="314"/>
      <c r="H451" s="101">
        <v>3.34</v>
      </c>
    </row>
    <row r="452" spans="1:8">
      <c r="A452" s="321"/>
      <c r="B452" s="100" t="s">
        <v>492</v>
      </c>
      <c r="C452" s="314" t="s">
        <v>491</v>
      </c>
      <c r="D452" s="314"/>
      <c r="E452" s="314"/>
      <c r="F452" s="314"/>
      <c r="G452" s="314"/>
      <c r="H452" s="101">
        <v>14.62</v>
      </c>
    </row>
    <row r="453" spans="1:8">
      <c r="A453" s="321"/>
      <c r="B453" s="100" t="s">
        <v>462</v>
      </c>
      <c r="C453" s="314" t="s">
        <v>491</v>
      </c>
      <c r="D453" s="314"/>
      <c r="E453" s="314"/>
      <c r="F453" s="314"/>
      <c r="G453" s="314"/>
      <c r="H453" s="101">
        <f>92.79+25.53</f>
        <v>118.32000000000001</v>
      </c>
    </row>
    <row r="454" spans="1:8">
      <c r="A454" s="322"/>
      <c r="B454" s="87"/>
      <c r="C454" s="319" t="s">
        <v>177</v>
      </c>
      <c r="D454" s="319"/>
      <c r="E454" s="319"/>
      <c r="F454" s="319"/>
      <c r="G454" s="319"/>
      <c r="H454" s="96">
        <f>SUM(H449:H453)</f>
        <v>169.55</v>
      </c>
    </row>
    <row r="455" spans="1:8">
      <c r="A455" s="320" t="str">
        <f>'PLANILHA ORÇAMENTARIA'!A90</f>
        <v>10.1.3</v>
      </c>
      <c r="B455" s="92" t="str">
        <f>'PLANILHA ORÇAMENTARIA'!B90</f>
        <v>SOL-GRA-005</v>
      </c>
      <c r="C455" s="93" t="str">
        <f>'PLANILHA ORÇAMENTARIA'!C90</f>
        <v>SETOP</v>
      </c>
      <c r="D455" s="318" t="str">
        <f>'PLANILHA ORÇAMENTARIA'!D90</f>
        <v>Soleira de granito cinza andorinha e = 2 cm</v>
      </c>
      <c r="E455" s="318"/>
      <c r="F455" s="318"/>
      <c r="G455" s="91" t="str">
        <f>'PLANILHA ORÇAMENTARIA'!E90</f>
        <v>m²</v>
      </c>
      <c r="H455" s="94">
        <f>H488</f>
        <v>4.5900000000000025</v>
      </c>
    </row>
    <row r="456" spans="1:8">
      <c r="A456" s="321"/>
      <c r="B456" s="100" t="s">
        <v>428</v>
      </c>
      <c r="C456" s="314" t="s">
        <v>539</v>
      </c>
      <c r="D456" s="314"/>
      <c r="E456" s="314"/>
      <c r="F456" s="314"/>
      <c r="G456" s="314"/>
      <c r="H456" s="95">
        <f>0.8*0.15</f>
        <v>0.12</v>
      </c>
    </row>
    <row r="457" spans="1:8">
      <c r="A457" s="321"/>
      <c r="B457" s="100" t="s">
        <v>430</v>
      </c>
      <c r="C457" s="314" t="s">
        <v>539</v>
      </c>
      <c r="D457" s="314"/>
      <c r="E457" s="314"/>
      <c r="F457" s="314"/>
      <c r="G457" s="314"/>
      <c r="H457" s="95">
        <f t="shared" ref="H457:H472" si="5">0.8*0.15</f>
        <v>0.12</v>
      </c>
    </row>
    <row r="458" spans="1:8">
      <c r="A458" s="321"/>
      <c r="B458" s="100" t="s">
        <v>431</v>
      </c>
      <c r="C458" s="314" t="s">
        <v>539</v>
      </c>
      <c r="D458" s="314"/>
      <c r="E458" s="314"/>
      <c r="F458" s="314"/>
      <c r="G458" s="314"/>
      <c r="H458" s="95">
        <f t="shared" si="5"/>
        <v>0.12</v>
      </c>
    </row>
    <row r="459" spans="1:8">
      <c r="A459" s="321"/>
      <c r="B459" s="100" t="s">
        <v>411</v>
      </c>
      <c r="C459" s="314" t="s">
        <v>539</v>
      </c>
      <c r="D459" s="314"/>
      <c r="E459" s="314"/>
      <c r="F459" s="314"/>
      <c r="G459" s="314"/>
      <c r="H459" s="95">
        <f t="shared" si="5"/>
        <v>0.12</v>
      </c>
    </row>
    <row r="460" spans="1:8">
      <c r="A460" s="321"/>
      <c r="B460" s="100" t="s">
        <v>414</v>
      </c>
      <c r="C460" s="314" t="s">
        <v>539</v>
      </c>
      <c r="D460" s="314"/>
      <c r="E460" s="314"/>
      <c r="F460" s="314"/>
      <c r="G460" s="314"/>
      <c r="H460" s="95">
        <f t="shared" si="5"/>
        <v>0.12</v>
      </c>
    </row>
    <row r="461" spans="1:8">
      <c r="A461" s="321"/>
      <c r="B461" s="100" t="s">
        <v>432</v>
      </c>
      <c r="C461" s="314" t="s">
        <v>539</v>
      </c>
      <c r="D461" s="314"/>
      <c r="E461" s="314"/>
      <c r="F461" s="314"/>
      <c r="G461" s="314"/>
      <c r="H461" s="95">
        <f t="shared" si="5"/>
        <v>0.12</v>
      </c>
    </row>
    <row r="462" spans="1:8">
      <c r="A462" s="321"/>
      <c r="B462" s="100" t="s">
        <v>413</v>
      </c>
      <c r="C462" s="314" t="s">
        <v>539</v>
      </c>
      <c r="D462" s="314"/>
      <c r="E462" s="314"/>
      <c r="F462" s="314"/>
      <c r="G462" s="314"/>
      <c r="H462" s="95">
        <f t="shared" si="5"/>
        <v>0.12</v>
      </c>
    </row>
    <row r="463" spans="1:8">
      <c r="A463" s="321"/>
      <c r="B463" s="100" t="s">
        <v>433</v>
      </c>
      <c r="C463" s="314" t="s">
        <v>539</v>
      </c>
      <c r="D463" s="314"/>
      <c r="E463" s="314"/>
      <c r="F463" s="314"/>
      <c r="G463" s="314"/>
      <c r="H463" s="95">
        <f t="shared" si="5"/>
        <v>0.12</v>
      </c>
    </row>
    <row r="464" spans="1:8">
      <c r="A464" s="321"/>
      <c r="B464" s="100" t="s">
        <v>429</v>
      </c>
      <c r="C464" s="314" t="s">
        <v>539</v>
      </c>
      <c r="D464" s="314"/>
      <c r="E464" s="314"/>
      <c r="F464" s="314"/>
      <c r="G464" s="314"/>
      <c r="H464" s="95">
        <f t="shared" si="5"/>
        <v>0.12</v>
      </c>
    </row>
    <row r="465" spans="1:8">
      <c r="A465" s="321"/>
      <c r="B465" s="100" t="s">
        <v>426</v>
      </c>
      <c r="C465" s="314" t="s">
        <v>539</v>
      </c>
      <c r="D465" s="314"/>
      <c r="E465" s="314"/>
      <c r="F465" s="314"/>
      <c r="G465" s="314"/>
      <c r="H465" s="95">
        <f t="shared" si="5"/>
        <v>0.12</v>
      </c>
    </row>
    <row r="466" spans="1:8">
      <c r="A466" s="321"/>
      <c r="B466" s="100" t="s">
        <v>449</v>
      </c>
      <c r="C466" s="314" t="s">
        <v>539</v>
      </c>
      <c r="D466" s="314"/>
      <c r="E466" s="314"/>
      <c r="F466" s="314"/>
      <c r="G466" s="314"/>
      <c r="H466" s="95">
        <f t="shared" si="5"/>
        <v>0.12</v>
      </c>
    </row>
    <row r="467" spans="1:8">
      <c r="A467" s="321"/>
      <c r="B467" s="100" t="s">
        <v>450</v>
      </c>
      <c r="C467" s="314" t="s">
        <v>539</v>
      </c>
      <c r="D467" s="314"/>
      <c r="E467" s="314"/>
      <c r="F467" s="314"/>
      <c r="G467" s="314"/>
      <c r="H467" s="95">
        <f t="shared" si="5"/>
        <v>0.12</v>
      </c>
    </row>
    <row r="468" spans="1:8">
      <c r="A468" s="321"/>
      <c r="B468" s="100" t="s">
        <v>493</v>
      </c>
      <c r="C468" s="314" t="s">
        <v>540</v>
      </c>
      <c r="D468" s="314"/>
      <c r="E468" s="314"/>
      <c r="F468" s="314"/>
      <c r="G468" s="314"/>
      <c r="H468" s="95">
        <f>1*0.15</f>
        <v>0.15</v>
      </c>
    </row>
    <row r="469" spans="1:8">
      <c r="A469" s="321"/>
      <c r="B469" s="100" t="s">
        <v>541</v>
      </c>
      <c r="C469" s="314" t="s">
        <v>542</v>
      </c>
      <c r="D469" s="314"/>
      <c r="E469" s="314"/>
      <c r="F469" s="314"/>
      <c r="G469" s="314"/>
      <c r="H469" s="95">
        <f>(1.6*0.15)+(0.8*0.15)</f>
        <v>0.36</v>
      </c>
    </row>
    <row r="470" spans="1:8">
      <c r="A470" s="321"/>
      <c r="B470" s="100" t="s">
        <v>543</v>
      </c>
      <c r="C470" s="314" t="s">
        <v>539</v>
      </c>
      <c r="D470" s="314"/>
      <c r="E470" s="314"/>
      <c r="F470" s="314"/>
      <c r="G470" s="314"/>
      <c r="H470" s="95">
        <f t="shared" si="5"/>
        <v>0.12</v>
      </c>
    </row>
    <row r="471" spans="1:8">
      <c r="A471" s="321"/>
      <c r="B471" s="100" t="s">
        <v>435</v>
      </c>
      <c r="C471" s="314" t="s">
        <v>544</v>
      </c>
      <c r="D471" s="314"/>
      <c r="E471" s="314"/>
      <c r="F471" s="314"/>
      <c r="G471" s="314"/>
      <c r="H471" s="95">
        <f>0.8*0.15*2</f>
        <v>0.24</v>
      </c>
    </row>
    <row r="472" spans="1:8">
      <c r="A472" s="321"/>
      <c r="B472" s="100" t="s">
        <v>545</v>
      </c>
      <c r="C472" s="314" t="s">
        <v>539</v>
      </c>
      <c r="D472" s="314"/>
      <c r="E472" s="314"/>
      <c r="F472" s="314"/>
      <c r="G472" s="314"/>
      <c r="H472" s="95">
        <f t="shared" si="5"/>
        <v>0.12</v>
      </c>
    </row>
    <row r="473" spans="1:8">
      <c r="A473" s="321"/>
      <c r="B473" s="100" t="s">
        <v>453</v>
      </c>
      <c r="C473" s="314" t="s">
        <v>544</v>
      </c>
      <c r="D473" s="314"/>
      <c r="E473" s="314"/>
      <c r="F473" s="314"/>
      <c r="G473" s="314"/>
      <c r="H473" s="95">
        <f>0.8*0.15*2</f>
        <v>0.24</v>
      </c>
    </row>
    <row r="474" spans="1:8">
      <c r="A474" s="321"/>
      <c r="B474" s="100" t="s">
        <v>396</v>
      </c>
      <c r="C474" s="314" t="s">
        <v>544</v>
      </c>
      <c r="D474" s="314"/>
      <c r="E474" s="314"/>
      <c r="F474" s="314"/>
      <c r="G474" s="314"/>
      <c r="H474" s="95">
        <f>0.8*0.15*2</f>
        <v>0.24</v>
      </c>
    </row>
    <row r="475" spans="1:8">
      <c r="A475" s="321"/>
      <c r="B475" s="100" t="s">
        <v>506</v>
      </c>
      <c r="C475" s="314" t="s">
        <v>539</v>
      </c>
      <c r="D475" s="314"/>
      <c r="E475" s="314"/>
      <c r="F475" s="314"/>
      <c r="G475" s="314"/>
      <c r="H475" s="95">
        <f t="shared" ref="H475:H487" si="6">0.8*0.15</f>
        <v>0.12</v>
      </c>
    </row>
    <row r="476" spans="1:8">
      <c r="A476" s="321"/>
      <c r="B476" s="100" t="s">
        <v>507</v>
      </c>
      <c r="C476" s="314" t="s">
        <v>539</v>
      </c>
      <c r="D476" s="314"/>
      <c r="E476" s="314"/>
      <c r="F476" s="314"/>
      <c r="G476" s="314"/>
      <c r="H476" s="95">
        <f t="shared" si="6"/>
        <v>0.12</v>
      </c>
    </row>
    <row r="477" spans="1:8">
      <c r="A477" s="321"/>
      <c r="B477" s="100" t="s">
        <v>459</v>
      </c>
      <c r="C477" s="314" t="s">
        <v>539</v>
      </c>
      <c r="D477" s="314"/>
      <c r="E477" s="314"/>
      <c r="F477" s="314"/>
      <c r="G477" s="314"/>
      <c r="H477" s="95">
        <f t="shared" si="6"/>
        <v>0.12</v>
      </c>
    </row>
    <row r="478" spans="1:8">
      <c r="A478" s="321"/>
      <c r="B478" s="100" t="s">
        <v>418</v>
      </c>
      <c r="C478" s="314" t="s">
        <v>539</v>
      </c>
      <c r="D478" s="314"/>
      <c r="E478" s="314"/>
      <c r="F478" s="314"/>
      <c r="G478" s="314"/>
      <c r="H478" s="95">
        <f t="shared" si="6"/>
        <v>0.12</v>
      </c>
    </row>
    <row r="479" spans="1:8">
      <c r="A479" s="321"/>
      <c r="B479" s="100" t="s">
        <v>541</v>
      </c>
      <c r="C479" s="314" t="s">
        <v>544</v>
      </c>
      <c r="D479" s="314"/>
      <c r="E479" s="314"/>
      <c r="F479" s="314"/>
      <c r="G479" s="314"/>
      <c r="H479" s="95">
        <f>0.8*0.15*2</f>
        <v>0.24</v>
      </c>
    </row>
    <row r="480" spans="1:8">
      <c r="A480" s="321"/>
      <c r="B480" s="100" t="s">
        <v>436</v>
      </c>
      <c r="C480" s="314" t="s">
        <v>539</v>
      </c>
      <c r="D480" s="314"/>
      <c r="E480" s="314"/>
      <c r="F480" s="314"/>
      <c r="G480" s="314"/>
      <c r="H480" s="95">
        <f t="shared" ref="H480" si="7">0.8*0.15</f>
        <v>0.12</v>
      </c>
    </row>
    <row r="481" spans="1:8">
      <c r="A481" s="321"/>
      <c r="B481" s="100" t="s">
        <v>417</v>
      </c>
      <c r="C481" s="314" t="s">
        <v>539</v>
      </c>
      <c r="D481" s="314"/>
      <c r="E481" s="314"/>
      <c r="F481" s="314"/>
      <c r="G481" s="314"/>
      <c r="H481" s="95">
        <f t="shared" si="6"/>
        <v>0.12</v>
      </c>
    </row>
    <row r="482" spans="1:8">
      <c r="A482" s="321"/>
      <c r="B482" s="100" t="s">
        <v>437</v>
      </c>
      <c r="C482" s="314" t="s">
        <v>539</v>
      </c>
      <c r="D482" s="314"/>
      <c r="E482" s="314"/>
      <c r="F482" s="314"/>
      <c r="G482" s="314"/>
      <c r="H482" s="95">
        <f t="shared" si="6"/>
        <v>0.12</v>
      </c>
    </row>
    <row r="483" spans="1:8">
      <c r="A483" s="321"/>
      <c r="B483" s="100" t="s">
        <v>457</v>
      </c>
      <c r="C483" s="314" t="s">
        <v>539</v>
      </c>
      <c r="D483" s="314"/>
      <c r="E483" s="314"/>
      <c r="F483" s="314"/>
      <c r="G483" s="314"/>
      <c r="H483" s="95">
        <f t="shared" si="6"/>
        <v>0.12</v>
      </c>
    </row>
    <row r="484" spans="1:8">
      <c r="A484" s="321"/>
      <c r="B484" s="100" t="s">
        <v>458</v>
      </c>
      <c r="C484" s="314" t="s">
        <v>539</v>
      </c>
      <c r="D484" s="314"/>
      <c r="E484" s="314"/>
      <c r="F484" s="314"/>
      <c r="G484" s="314"/>
      <c r="H484" s="95">
        <f t="shared" si="6"/>
        <v>0.12</v>
      </c>
    </row>
    <row r="485" spans="1:8">
      <c r="A485" s="321"/>
      <c r="B485" s="100" t="s">
        <v>503</v>
      </c>
      <c r="C485" s="314" t="s">
        <v>539</v>
      </c>
      <c r="D485" s="314"/>
      <c r="E485" s="314"/>
      <c r="F485" s="314"/>
      <c r="G485" s="314"/>
      <c r="H485" s="95">
        <f t="shared" si="6"/>
        <v>0.12</v>
      </c>
    </row>
    <row r="486" spans="1:8">
      <c r="A486" s="321"/>
      <c r="B486" s="100" t="s">
        <v>439</v>
      </c>
      <c r="C486" s="314" t="s">
        <v>539</v>
      </c>
      <c r="D486" s="314"/>
      <c r="E486" s="314"/>
      <c r="F486" s="314"/>
      <c r="G486" s="314"/>
      <c r="H486" s="95">
        <f t="shared" si="6"/>
        <v>0.12</v>
      </c>
    </row>
    <row r="487" spans="1:8">
      <c r="A487" s="321"/>
      <c r="B487" s="100" t="s">
        <v>441</v>
      </c>
      <c r="C487" s="314" t="s">
        <v>539</v>
      </c>
      <c r="D487" s="314"/>
      <c r="E487" s="314"/>
      <c r="F487" s="314"/>
      <c r="G487" s="314"/>
      <c r="H487" s="95">
        <f t="shared" si="6"/>
        <v>0.12</v>
      </c>
    </row>
    <row r="488" spans="1:8" ht="13.5" customHeight="1">
      <c r="A488" s="322"/>
      <c r="B488" s="87"/>
      <c r="C488" s="319" t="s">
        <v>177</v>
      </c>
      <c r="D488" s="319"/>
      <c r="E488" s="319"/>
      <c r="F488" s="319"/>
      <c r="G488" s="319"/>
      <c r="H488" s="96">
        <f>SUM(H456:H487)</f>
        <v>4.5900000000000025</v>
      </c>
    </row>
    <row r="489" spans="1:8">
      <c r="A489" s="76" t="str">
        <f>'PLANILHA ORÇAMENTARIA'!A91</f>
        <v>10.2</v>
      </c>
      <c r="B489" s="259"/>
      <c r="C489" s="260"/>
      <c r="D489" s="268" t="s">
        <v>40</v>
      </c>
      <c r="E489" s="269"/>
      <c r="F489" s="269"/>
      <c r="G489" s="269"/>
      <c r="H489" s="270"/>
    </row>
    <row r="490" spans="1:8" ht="24" customHeight="1">
      <c r="A490" s="332" t="str">
        <f>'PLANILHA ORÇAMENTARIA'!A92</f>
        <v>10.2.1</v>
      </c>
      <c r="B490" s="92" t="str">
        <f>'PLANILHA ORÇAMENTARIA'!B92</f>
        <v>PAI-GRA-015</v>
      </c>
      <c r="C490" s="93" t="str">
        <f>'PLANILHA ORÇAMENTARIA'!C92</f>
        <v>SETOP</v>
      </c>
      <c r="D490" s="318" t="str">
        <f>'PLANILHA ORÇAMENTARIA'!D92</f>
        <v>Plantio de grama esmeralda em placas, inclusive terra vegetal e conservação por 30 dias</v>
      </c>
      <c r="E490" s="318"/>
      <c r="F490" s="318"/>
      <c r="G490" s="91" t="str">
        <f>'PLANILHA ORÇAMENTARIA'!E92</f>
        <v>m²</v>
      </c>
      <c r="H490" s="94">
        <f>H493</f>
        <v>361.8</v>
      </c>
    </row>
    <row r="491" spans="1:8">
      <c r="A491" s="333"/>
      <c r="B491" s="100" t="s">
        <v>389</v>
      </c>
      <c r="C491" s="314" t="s">
        <v>393</v>
      </c>
      <c r="D491" s="314"/>
      <c r="E491" s="314"/>
      <c r="F491" s="314"/>
      <c r="G491" s="314"/>
      <c r="H491" s="101">
        <f>32*4.9</f>
        <v>156.80000000000001</v>
      </c>
    </row>
    <row r="492" spans="1:8">
      <c r="A492" s="333"/>
      <c r="B492" s="100" t="s">
        <v>410</v>
      </c>
      <c r="C492" s="314" t="s">
        <v>761</v>
      </c>
      <c r="D492" s="314"/>
      <c r="E492" s="314"/>
      <c r="F492" s="314"/>
      <c r="G492" s="314"/>
      <c r="H492" s="101">
        <v>205</v>
      </c>
    </row>
    <row r="493" spans="1:8">
      <c r="A493" s="334"/>
      <c r="B493" s="87"/>
      <c r="C493" s="319" t="s">
        <v>177</v>
      </c>
      <c r="D493" s="319"/>
      <c r="E493" s="319"/>
      <c r="F493" s="319"/>
      <c r="G493" s="319"/>
      <c r="H493" s="96">
        <f>SUM(H491:H492)</f>
        <v>361.8</v>
      </c>
    </row>
    <row r="494" spans="1:8">
      <c r="A494" s="326"/>
      <c r="B494" s="327"/>
      <c r="C494" s="327"/>
      <c r="D494" s="327"/>
      <c r="E494" s="327"/>
      <c r="F494" s="327"/>
      <c r="G494" s="327"/>
      <c r="H494" s="328"/>
    </row>
    <row r="495" spans="1:8">
      <c r="A495" s="73">
        <f>'PLANILHA ORÇAMENTARIA'!A94</f>
        <v>11</v>
      </c>
      <c r="B495" s="112"/>
      <c r="C495" s="112"/>
      <c r="D495" s="112" t="s">
        <v>41</v>
      </c>
      <c r="E495" s="112"/>
      <c r="F495" s="112"/>
      <c r="G495" s="112"/>
      <c r="H495" s="113"/>
    </row>
    <row r="496" spans="1:8">
      <c r="A496" s="344" t="str">
        <f>'PLANILHA ORÇAMENTARIA'!A95</f>
        <v>11.1</v>
      </c>
      <c r="B496" s="92" t="str">
        <f>'PLANILHA ORÇAMENTARIA'!B95</f>
        <v>PIN-LIX-005</v>
      </c>
      <c r="C496" s="93" t="str">
        <f>'PLANILHA ORÇAMENTARIA'!C95</f>
        <v>SETOP</v>
      </c>
      <c r="D496" s="318" t="str">
        <f>'PLANILHA ORÇAMENTARIA'!D95</f>
        <v>Lixamento manual em parede para remoção de tinta</v>
      </c>
      <c r="E496" s="318"/>
      <c r="F496" s="318"/>
      <c r="G496" s="91" t="str">
        <f>'PLANILHA ORÇAMENTARIA'!E95</f>
        <v>m²</v>
      </c>
      <c r="H496" s="94">
        <f>H527</f>
        <v>3277.2394999999997</v>
      </c>
    </row>
    <row r="497" spans="1:8">
      <c r="A497" s="345"/>
      <c r="B497" s="100" t="s">
        <v>428</v>
      </c>
      <c r="C497" s="324" t="s">
        <v>662</v>
      </c>
      <c r="D497" s="324"/>
      <c r="E497" s="324"/>
      <c r="F497" s="324"/>
      <c r="G497" s="324"/>
      <c r="H497" s="95">
        <f>((6.5+6.15+6.5+6.15)*2.8)-((0.8*2.1)+(6*1.3))</f>
        <v>61.359999999999985</v>
      </c>
    </row>
    <row r="498" spans="1:8">
      <c r="A498" s="345"/>
      <c r="B498" s="100" t="s">
        <v>430</v>
      </c>
      <c r="C498" s="324" t="s">
        <v>662</v>
      </c>
      <c r="D498" s="324"/>
      <c r="E498" s="324"/>
      <c r="F498" s="324"/>
      <c r="G498" s="324"/>
      <c r="H498" s="95">
        <f>((6.5+6.15+6.5+6.15)*2.8)-((0.8*2.1)+(6*1.3))</f>
        <v>61.359999999999985</v>
      </c>
    </row>
    <row r="499" spans="1:8">
      <c r="A499" s="345"/>
      <c r="B499" s="100" t="s">
        <v>431</v>
      </c>
      <c r="C499" s="324" t="s">
        <v>663</v>
      </c>
      <c r="D499" s="324"/>
      <c r="E499" s="324"/>
      <c r="F499" s="324"/>
      <c r="G499" s="324"/>
      <c r="H499" s="95">
        <f>((7.35+6.15+7.35+6.15)*2.8)-((0.8*2.1)+(6*1.3))</f>
        <v>66.11999999999999</v>
      </c>
    </row>
    <row r="500" spans="1:8">
      <c r="A500" s="345"/>
      <c r="B500" s="100" t="s">
        <v>411</v>
      </c>
      <c r="C500" s="324" t="s">
        <v>664</v>
      </c>
      <c r="D500" s="324"/>
      <c r="E500" s="324"/>
      <c r="F500" s="324"/>
      <c r="G500" s="324"/>
      <c r="H500" s="95">
        <f>((5.5+6.15+5.5+6.15)*2.8)-((0.8*2.1)+(3*1.3))</f>
        <v>59.66</v>
      </c>
    </row>
    <row r="501" spans="1:8">
      <c r="A501" s="345"/>
      <c r="B501" s="100" t="s">
        <v>414</v>
      </c>
      <c r="C501" s="324" t="s">
        <v>662</v>
      </c>
      <c r="D501" s="324"/>
      <c r="E501" s="324"/>
      <c r="F501" s="324"/>
      <c r="G501" s="324"/>
      <c r="H501" s="95">
        <f>((6.5+6.15+6.5+6.15)*2.8)-((0.8*2.1)+(6*1.3))</f>
        <v>61.359999999999985</v>
      </c>
    </row>
    <row r="502" spans="1:8">
      <c r="A502" s="345"/>
      <c r="B502" s="100" t="s">
        <v>432</v>
      </c>
      <c r="C502" s="324" t="s">
        <v>665</v>
      </c>
      <c r="D502" s="324"/>
      <c r="E502" s="324"/>
      <c r="F502" s="324"/>
      <c r="G502" s="324"/>
      <c r="H502" s="95">
        <f>((6.5+6.1+6.5+6.1)*2.8)-((0.8*2.1)+(6*1.3))</f>
        <v>61.08</v>
      </c>
    </row>
    <row r="503" spans="1:8" ht="14.25" customHeight="1">
      <c r="A503" s="345"/>
      <c r="B503" s="100" t="s">
        <v>413</v>
      </c>
      <c r="C503" s="324" t="s">
        <v>665</v>
      </c>
      <c r="D503" s="324"/>
      <c r="E503" s="324"/>
      <c r="F503" s="324"/>
      <c r="G503" s="324"/>
      <c r="H503" s="95">
        <f t="shared" ref="H503:H505" si="8">((6.5+6.1+6.5+6.1)*2.8)-((0.8*2.1)+(6*1.3))</f>
        <v>61.08</v>
      </c>
    </row>
    <row r="504" spans="1:8" ht="14.25" customHeight="1">
      <c r="A504" s="345"/>
      <c r="B504" s="100" t="s">
        <v>433</v>
      </c>
      <c r="C504" s="324" t="s">
        <v>665</v>
      </c>
      <c r="D504" s="324"/>
      <c r="E504" s="324"/>
      <c r="F504" s="324"/>
      <c r="G504" s="324"/>
      <c r="H504" s="95">
        <f t="shared" si="8"/>
        <v>61.08</v>
      </c>
    </row>
    <row r="505" spans="1:8" ht="14.25" customHeight="1">
      <c r="A505" s="345"/>
      <c r="B505" s="100" t="s">
        <v>429</v>
      </c>
      <c r="C505" s="324" t="s">
        <v>665</v>
      </c>
      <c r="D505" s="324"/>
      <c r="E505" s="324"/>
      <c r="F505" s="324"/>
      <c r="G505" s="324"/>
      <c r="H505" s="95">
        <f t="shared" si="8"/>
        <v>61.08</v>
      </c>
    </row>
    <row r="506" spans="1:8">
      <c r="A506" s="345"/>
      <c r="B506" s="100" t="s">
        <v>426</v>
      </c>
      <c r="C506" s="324" t="s">
        <v>666</v>
      </c>
      <c r="D506" s="324"/>
      <c r="E506" s="324"/>
      <c r="F506" s="324"/>
      <c r="G506" s="324"/>
      <c r="H506" s="95">
        <f>((5.35+4.45+5.35+4.45)*2.8)-((0.8*2.1)+(4.3*1.3))</f>
        <v>47.61</v>
      </c>
    </row>
    <row r="507" spans="1:8">
      <c r="A507" s="345"/>
      <c r="B507" s="100" t="s">
        <v>434</v>
      </c>
      <c r="C507" s="324" t="s">
        <v>667</v>
      </c>
      <c r="D507" s="324"/>
      <c r="E507" s="324"/>
      <c r="F507" s="324"/>
      <c r="G507" s="324"/>
      <c r="H507" s="95">
        <f>((3+6.15+3+6.15)*2.8)-((1*2.1)+(2.9*1.3))</f>
        <v>45.370000000000005</v>
      </c>
    </row>
    <row r="508" spans="1:8" ht="30" customHeight="1">
      <c r="A508" s="345"/>
      <c r="B508" s="100" t="s">
        <v>435</v>
      </c>
      <c r="C508" s="324" t="s">
        <v>668</v>
      </c>
      <c r="D508" s="324"/>
      <c r="E508" s="324"/>
      <c r="F508" s="324"/>
      <c r="G508" s="324"/>
      <c r="H508" s="95">
        <f>((3+6+6+4.17+3+1.83+3)*2.8)-((0.8*2.1*3)+(2.8*1.3))</f>
        <v>66.919999999999987</v>
      </c>
    </row>
    <row r="509" spans="1:8">
      <c r="A509" s="345"/>
      <c r="B509" s="100" t="s">
        <v>453</v>
      </c>
      <c r="C509" s="324" t="s">
        <v>669</v>
      </c>
      <c r="D509" s="324"/>
      <c r="E509" s="324"/>
      <c r="F509" s="324"/>
      <c r="G509" s="324"/>
      <c r="H509" s="95">
        <f>((6.15+6.15+5.05+5.05)*2.8)+((0.8*2.1*2)+(3*1.2*2))</f>
        <v>73.28</v>
      </c>
    </row>
    <row r="510" spans="1:8" ht="33" customHeight="1">
      <c r="A510" s="345"/>
      <c r="B510" s="100" t="s">
        <v>456</v>
      </c>
      <c r="C510" s="324" t="s">
        <v>670</v>
      </c>
      <c r="D510" s="324"/>
      <c r="E510" s="324"/>
      <c r="F510" s="324"/>
      <c r="G510" s="324"/>
      <c r="H510" s="95">
        <f>((11.2+5.5+11.2+5.5)+2.8)-((0.8*2.1*8)+(1*2.3)+(3.65*1.2)+(1*0.5*2)+(3*1.2)+(1.93*1.45))</f>
        <v>8.6814999999999962</v>
      </c>
    </row>
    <row r="511" spans="1:8">
      <c r="A511" s="345"/>
      <c r="B511" s="100" t="s">
        <v>436</v>
      </c>
      <c r="C511" s="324" t="s">
        <v>671</v>
      </c>
      <c r="D511" s="324"/>
      <c r="E511" s="324"/>
      <c r="F511" s="324"/>
      <c r="G511" s="324"/>
      <c r="H511" s="95">
        <f>((5.9+6+3.25+8.8+2.93)*2.8)-((0.8*2.1)+((1.9+2.4)*1.3))</f>
        <v>67.994</v>
      </c>
    </row>
    <row r="512" spans="1:8">
      <c r="A512" s="345"/>
      <c r="B512" s="100" t="s">
        <v>437</v>
      </c>
      <c r="C512" s="324" t="s">
        <v>672</v>
      </c>
      <c r="D512" s="324"/>
      <c r="E512" s="324"/>
      <c r="F512" s="324"/>
      <c r="G512" s="324"/>
      <c r="H512" s="95">
        <f>((6+5.05+6+5.05)*2.8)-((0.8*2.1*2)+(3*1.3))</f>
        <v>54.620000000000005</v>
      </c>
    </row>
    <row r="513" spans="1:8">
      <c r="A513" s="345"/>
      <c r="B513" s="100" t="s">
        <v>417</v>
      </c>
      <c r="C513" s="324" t="s">
        <v>673</v>
      </c>
      <c r="D513" s="324"/>
      <c r="E513" s="324"/>
      <c r="F513" s="324"/>
      <c r="G513" s="324"/>
      <c r="H513" s="95">
        <f>((8.35+5.4+8.35+5.4)*2.8)-((0.8*2.1*4)+(3.75*1.3))</f>
        <v>65.405000000000001</v>
      </c>
    </row>
    <row r="514" spans="1:8">
      <c r="A514" s="345"/>
      <c r="B514" s="100" t="s">
        <v>460</v>
      </c>
      <c r="C514" s="324" t="s">
        <v>674</v>
      </c>
      <c r="D514" s="324"/>
      <c r="E514" s="324"/>
      <c r="F514" s="324"/>
      <c r="G514" s="324"/>
      <c r="H514" s="95">
        <f>((27.6+4.45+27.6+6.15+2.85+6.15)*2.8)-((0.8*2.1*12)+(1*2.1))</f>
        <v>187.18</v>
      </c>
    </row>
    <row r="515" spans="1:8" ht="29.25" customHeight="1">
      <c r="A515" s="345"/>
      <c r="B515" s="100" t="s">
        <v>461</v>
      </c>
      <c r="C515" s="324" t="s">
        <v>675</v>
      </c>
      <c r="D515" s="324"/>
      <c r="E515" s="324"/>
      <c r="F515" s="324"/>
      <c r="G515" s="324"/>
      <c r="H515" s="95">
        <f>((10.6+9.15+6.15+6.3)*2.8)-((0.8*2.1*4)+(1*2.1)+((2.8+2.7)*1.3))</f>
        <v>74.189999999999984</v>
      </c>
    </row>
    <row r="516" spans="1:8">
      <c r="A516" s="345"/>
      <c r="B516" s="100" t="s">
        <v>492</v>
      </c>
      <c r="C516" s="324" t="s">
        <v>676</v>
      </c>
      <c r="D516" s="324"/>
      <c r="E516" s="324"/>
      <c r="F516" s="324"/>
      <c r="G516" s="324"/>
      <c r="H516" s="95">
        <f>((4.5+3.25+4.5+3.25)*2.8)-((0.8*2.1)+(2*1.3))</f>
        <v>39.119999999999997</v>
      </c>
    </row>
    <row r="517" spans="1:8">
      <c r="A517" s="345"/>
      <c r="B517" s="100" t="s">
        <v>652</v>
      </c>
      <c r="C517" s="324" t="s">
        <v>677</v>
      </c>
      <c r="D517" s="324"/>
      <c r="E517" s="324"/>
      <c r="F517" s="324"/>
      <c r="G517" s="324"/>
      <c r="H517" s="95">
        <f>((2.3+3.25+2.5+3.25)*2.8)-((0.8*2.1)+(2*1.3))</f>
        <v>27.36</v>
      </c>
    </row>
    <row r="518" spans="1:8">
      <c r="A518" s="345"/>
      <c r="B518" s="100" t="s">
        <v>653</v>
      </c>
      <c r="C518" s="324" t="s">
        <v>678</v>
      </c>
      <c r="D518" s="324"/>
      <c r="E518" s="324"/>
      <c r="F518" s="324"/>
      <c r="G518" s="324"/>
      <c r="H518" s="95">
        <f>((5.15+2.95+2.15+0.15+3+3.25)*2.8)-((0.8*2.1)+(2*1.3*2))</f>
        <v>39.74</v>
      </c>
    </row>
    <row r="519" spans="1:8">
      <c r="A519" s="345"/>
      <c r="B519" s="100" t="s">
        <v>654</v>
      </c>
      <c r="C519" s="324" t="s">
        <v>679</v>
      </c>
      <c r="D519" s="324"/>
      <c r="E519" s="324"/>
      <c r="F519" s="324"/>
      <c r="G519" s="324"/>
      <c r="H519" s="95">
        <f>((1.4+2.5+1.4+2.5)*2.8)-(0.8*2.1)</f>
        <v>20.16</v>
      </c>
    </row>
    <row r="520" spans="1:8">
      <c r="A520" s="345"/>
      <c r="B520" s="100" t="s">
        <v>655</v>
      </c>
      <c r="C520" s="324" t="s">
        <v>680</v>
      </c>
      <c r="D520" s="324"/>
      <c r="E520" s="324"/>
      <c r="F520" s="324"/>
      <c r="G520" s="324"/>
      <c r="H520" s="95">
        <f>((6.4+1.1+6.4+1.1)*2.8)-(0.8*2.1*6)</f>
        <v>31.919999999999998</v>
      </c>
    </row>
    <row r="521" spans="1:8" ht="29.25" customHeight="1">
      <c r="A521" s="345"/>
      <c r="B521" s="100" t="s">
        <v>462</v>
      </c>
      <c r="C521" s="324" t="s">
        <v>681</v>
      </c>
      <c r="D521" s="324"/>
      <c r="E521" s="324"/>
      <c r="F521" s="324"/>
      <c r="G521" s="324"/>
      <c r="H521" s="95">
        <f>((54.5+4.8+12.75+4.8+12.75)*2.8)-((0.8*2.1*6)+(3*1.3*12)+(2*1.3*4))</f>
        <v>183.59999999999997</v>
      </c>
    </row>
    <row r="522" spans="1:8" ht="25.5" customHeight="1">
      <c r="A522" s="345"/>
      <c r="B522" s="100" t="s">
        <v>394</v>
      </c>
      <c r="C522" s="324" t="s">
        <v>682</v>
      </c>
      <c r="D522" s="324"/>
      <c r="E522" s="324"/>
      <c r="F522" s="324"/>
      <c r="G522" s="324"/>
      <c r="H522" s="95">
        <f>((2.75+14.05+3.26+11.82+5.84)*2.8)-(((1.9+3+3.75+1.93)*1.3)+(0.8*2.1))</f>
        <v>90.181999999999988</v>
      </c>
    </row>
    <row r="523" spans="1:8" ht="30.75" customHeight="1">
      <c r="A523" s="345"/>
      <c r="B523" s="100" t="s">
        <v>644</v>
      </c>
      <c r="C523" s="324" t="s">
        <v>684</v>
      </c>
      <c r="D523" s="324"/>
      <c r="E523" s="324"/>
      <c r="F523" s="324"/>
      <c r="G523" s="324"/>
      <c r="H523" s="95">
        <f>((11.85+3.15+48.8+17.05)*2.8)-(((4.33+(3*9)+2.8+2.7+1.9)*1.3)+(0.8*2.1))</f>
        <v>174.35099999999997</v>
      </c>
    </row>
    <row r="524" spans="1:8">
      <c r="A524" s="345"/>
      <c r="B524" s="100" t="s">
        <v>444</v>
      </c>
      <c r="C524" s="324" t="s">
        <v>683</v>
      </c>
      <c r="D524" s="324"/>
      <c r="E524" s="324"/>
      <c r="F524" s="324"/>
      <c r="G524" s="324"/>
      <c r="H524" s="95">
        <f>((33+18+33+18)*0.9*2)-(1*0.9*2)</f>
        <v>181.79999999999998</v>
      </c>
    </row>
    <row r="525" spans="1:8">
      <c r="A525" s="345"/>
      <c r="B525" s="100" t="s">
        <v>661</v>
      </c>
      <c r="C525" s="324" t="s">
        <v>685</v>
      </c>
      <c r="D525" s="324"/>
      <c r="E525" s="324"/>
      <c r="F525" s="324"/>
      <c r="G525" s="324"/>
      <c r="H525" s="95">
        <f>((4*4)*2.5)</f>
        <v>40</v>
      </c>
    </row>
    <row r="526" spans="1:8">
      <c r="A526" s="345"/>
      <c r="B526" s="100" t="s">
        <v>512</v>
      </c>
      <c r="C526" s="324" t="s">
        <v>756</v>
      </c>
      <c r="D526" s="324"/>
      <c r="E526" s="324"/>
      <c r="F526" s="324"/>
      <c r="G526" s="324"/>
      <c r="H526" s="95">
        <f>((7.72+43.67+57.49+14.27+39.77+37.32+3.37+11.97+15.03+21.26+21.67)*2.2*2)</f>
        <v>1203.576</v>
      </c>
    </row>
    <row r="527" spans="1:8" ht="18.75" customHeight="1">
      <c r="A527" s="346"/>
      <c r="B527" s="87"/>
      <c r="C527" s="319" t="s">
        <v>177</v>
      </c>
      <c r="D527" s="319"/>
      <c r="E527" s="319"/>
      <c r="F527" s="319"/>
      <c r="G527" s="319"/>
      <c r="H527" s="96">
        <f>SUM(H497:H526)</f>
        <v>3277.2394999999997</v>
      </c>
    </row>
    <row r="528" spans="1:8" ht="18.75" customHeight="1">
      <c r="A528" s="341" t="str">
        <f>'PLANILHA ORÇAMENTARIA'!A96</f>
        <v>11.2</v>
      </c>
      <c r="B528" s="92">
        <f>'PLANILHA ORÇAMENTARIA'!B96</f>
        <v>88485</v>
      </c>
      <c r="C528" s="93" t="str">
        <f>'PLANILHA ORÇAMENTARIA'!C96</f>
        <v>SINAPI</v>
      </c>
      <c r="D528" s="318" t="str">
        <f>'PLANILHA ORÇAMENTARIA'!D96</f>
        <v>Aplicação de fundo selador acrílico em paredes, uma demão.</v>
      </c>
      <c r="E528" s="318"/>
      <c r="F528" s="318"/>
      <c r="G528" s="91" t="str">
        <f>'PLANILHA ORÇAMENTARIA'!E96</f>
        <v>m²</v>
      </c>
      <c r="H528" s="94">
        <f>H559</f>
        <v>2283.6945000000001</v>
      </c>
    </row>
    <row r="529" spans="1:8">
      <c r="A529" s="342"/>
      <c r="B529" s="100" t="s">
        <v>428</v>
      </c>
      <c r="C529" s="324" t="s">
        <v>686</v>
      </c>
      <c r="D529" s="324"/>
      <c r="E529" s="324"/>
      <c r="F529" s="324"/>
      <c r="G529" s="324"/>
      <c r="H529" s="95">
        <f>((6.5+6.15+6.5+6.15)*1.3)-((0.8*0.6)+(6*0.8))</f>
        <v>27.61</v>
      </c>
    </row>
    <row r="530" spans="1:8">
      <c r="A530" s="342"/>
      <c r="B530" s="100" t="s">
        <v>430</v>
      </c>
      <c r="C530" s="324" t="s">
        <v>686</v>
      </c>
      <c r="D530" s="324"/>
      <c r="E530" s="324"/>
      <c r="F530" s="324"/>
      <c r="G530" s="324"/>
      <c r="H530" s="95">
        <f>((6.5+6.15+6.5+6.15)*1.3)-((0.8*0.6)+(6*0.8))</f>
        <v>27.61</v>
      </c>
    </row>
    <row r="531" spans="1:8">
      <c r="A531" s="342"/>
      <c r="B531" s="100" t="s">
        <v>431</v>
      </c>
      <c r="C531" s="324" t="s">
        <v>687</v>
      </c>
      <c r="D531" s="324"/>
      <c r="E531" s="324"/>
      <c r="F531" s="324"/>
      <c r="G531" s="324"/>
      <c r="H531" s="95">
        <f>((7.35+6.15+7.35+6.15)*1.3)-((0.8*0.6)+(6*0.8))</f>
        <v>29.82</v>
      </c>
    </row>
    <row r="532" spans="1:8">
      <c r="A532" s="342"/>
      <c r="B532" s="100" t="s">
        <v>411</v>
      </c>
      <c r="C532" s="324" t="s">
        <v>688</v>
      </c>
      <c r="D532" s="324"/>
      <c r="E532" s="324"/>
      <c r="F532" s="324"/>
      <c r="G532" s="324"/>
      <c r="H532" s="95">
        <f>((5.5+6.15+5.5+6.15)*1.3)-((0.8*0.6)+(3*0.8))</f>
        <v>27.409999999999997</v>
      </c>
    </row>
    <row r="533" spans="1:8">
      <c r="A533" s="342"/>
      <c r="B533" s="100" t="s">
        <v>414</v>
      </c>
      <c r="C533" s="324" t="s">
        <v>686</v>
      </c>
      <c r="D533" s="324"/>
      <c r="E533" s="324"/>
      <c r="F533" s="324"/>
      <c r="G533" s="324"/>
      <c r="H533" s="95">
        <f>((6.5+6.15+6.5+6.15)*1.3)-((0.8*0.6)+(6*0.8))</f>
        <v>27.61</v>
      </c>
    </row>
    <row r="534" spans="1:8">
      <c r="A534" s="342"/>
      <c r="B534" s="100" t="s">
        <v>432</v>
      </c>
      <c r="C534" s="324" t="s">
        <v>689</v>
      </c>
      <c r="D534" s="324"/>
      <c r="E534" s="324"/>
      <c r="F534" s="324"/>
      <c r="G534" s="324"/>
      <c r="H534" s="95">
        <f>((6.5+6.1+6.5+6.1)*1.3)-((0.8*0.6)+(6*0.8))</f>
        <v>27.480000000000004</v>
      </c>
    </row>
    <row r="535" spans="1:8" ht="14.25" customHeight="1">
      <c r="A535" s="342"/>
      <c r="B535" s="100" t="s">
        <v>413</v>
      </c>
      <c r="C535" s="324" t="s">
        <v>689</v>
      </c>
      <c r="D535" s="324"/>
      <c r="E535" s="324"/>
      <c r="F535" s="324"/>
      <c r="G535" s="324"/>
      <c r="H535" s="95">
        <f>((6.5+6.1+6.5+6.1)*1.3)-((0.8*0.6)+(6*0.8))</f>
        <v>27.480000000000004</v>
      </c>
    </row>
    <row r="536" spans="1:8" ht="14.25" customHeight="1">
      <c r="A536" s="342"/>
      <c r="B536" s="100" t="s">
        <v>433</v>
      </c>
      <c r="C536" s="324" t="s">
        <v>689</v>
      </c>
      <c r="D536" s="324"/>
      <c r="E536" s="324"/>
      <c r="F536" s="324"/>
      <c r="G536" s="324"/>
      <c r="H536" s="95">
        <f>((6.5+6.1+6.5+6.1)*1.3)-((0.8*0.6)+(6*0.8))</f>
        <v>27.480000000000004</v>
      </c>
    </row>
    <row r="537" spans="1:8" ht="14.25" customHeight="1">
      <c r="A537" s="342"/>
      <c r="B537" s="100" t="s">
        <v>429</v>
      </c>
      <c r="C537" s="324" t="s">
        <v>689</v>
      </c>
      <c r="D537" s="324"/>
      <c r="E537" s="324"/>
      <c r="F537" s="324"/>
      <c r="G537" s="324"/>
      <c r="H537" s="95">
        <f>((6.5+6.1+6.5+6.1)*1.3)-((0.8*0.6)+(6*0.8))</f>
        <v>27.480000000000004</v>
      </c>
    </row>
    <row r="538" spans="1:8">
      <c r="A538" s="342"/>
      <c r="B538" s="100" t="s">
        <v>426</v>
      </c>
      <c r="C538" s="324" t="s">
        <v>690</v>
      </c>
      <c r="D538" s="324"/>
      <c r="E538" s="324"/>
      <c r="F538" s="324"/>
      <c r="G538" s="324"/>
      <c r="H538" s="95">
        <f>((5.35+4.45+5.35+4.45)*1.3)-((0.8*0.6)+(4.3*0.8))</f>
        <v>21.560000000000002</v>
      </c>
    </row>
    <row r="539" spans="1:8">
      <c r="A539" s="342"/>
      <c r="B539" s="100" t="s">
        <v>434</v>
      </c>
      <c r="C539" s="324" t="s">
        <v>691</v>
      </c>
      <c r="D539" s="324"/>
      <c r="E539" s="324"/>
      <c r="F539" s="324"/>
      <c r="G539" s="324"/>
      <c r="H539" s="95">
        <f>((3+6.15+3+6.15)*1.3)-((1*0.6)+(2.9*0.8))</f>
        <v>20.870000000000005</v>
      </c>
    </row>
    <row r="540" spans="1:8" ht="30" customHeight="1">
      <c r="A540" s="342"/>
      <c r="B540" s="100" t="s">
        <v>435</v>
      </c>
      <c r="C540" s="324" t="s">
        <v>692</v>
      </c>
      <c r="D540" s="324"/>
      <c r="E540" s="324"/>
      <c r="F540" s="324"/>
      <c r="G540" s="324"/>
      <c r="H540" s="95">
        <f>((3+6+6+4.17+3+1.83+3)*1.3)-((0.8*0.6*3)+(2.8*0.8))</f>
        <v>31.42</v>
      </c>
    </row>
    <row r="541" spans="1:8" ht="30" customHeight="1">
      <c r="A541" s="342"/>
      <c r="B541" s="100" t="s">
        <v>453</v>
      </c>
      <c r="C541" s="324" t="s">
        <v>693</v>
      </c>
      <c r="D541" s="324"/>
      <c r="E541" s="324"/>
      <c r="F541" s="324"/>
      <c r="G541" s="324"/>
      <c r="H541" s="95">
        <f>((6.15+6.15+5.05+5.05)*1.3)+((0.8*0.6*2)+(3*0.7*2))</f>
        <v>34.28</v>
      </c>
    </row>
    <row r="542" spans="1:8" ht="33" customHeight="1">
      <c r="A542" s="342"/>
      <c r="B542" s="100" t="s">
        <v>456</v>
      </c>
      <c r="C542" s="324" t="s">
        <v>694</v>
      </c>
      <c r="D542" s="324"/>
      <c r="E542" s="324"/>
      <c r="F542" s="324"/>
      <c r="G542" s="324"/>
      <c r="H542" s="95">
        <f>((11.2+5.5+11.2+5.5)+1.3)-((0.8*0.6*8)+(1*2.3)+(3.65*0.7)+(1*0.5*2)+(3*0.7)+(1.93*1.45))</f>
        <v>20.106499999999997</v>
      </c>
    </row>
    <row r="543" spans="1:8">
      <c r="A543" s="342"/>
      <c r="B543" s="100" t="s">
        <v>436</v>
      </c>
      <c r="C543" s="324" t="s">
        <v>695</v>
      </c>
      <c r="D543" s="324"/>
      <c r="E543" s="324"/>
      <c r="F543" s="324"/>
      <c r="G543" s="324"/>
      <c r="H543" s="95">
        <f>((5.9+6+3.25+8.8+2.93)*1.3)-((0.8*0.6)+((1.9+2.4)*0.8))</f>
        <v>31.024000000000001</v>
      </c>
    </row>
    <row r="544" spans="1:8">
      <c r="A544" s="342"/>
      <c r="B544" s="100" t="s">
        <v>437</v>
      </c>
      <c r="C544" s="324" t="s">
        <v>696</v>
      </c>
      <c r="D544" s="324"/>
      <c r="E544" s="324"/>
      <c r="F544" s="324"/>
      <c r="G544" s="324"/>
      <c r="H544" s="95">
        <f>((6+5.05+6+5.05)*1.3)-((0.8*0.6*2)+(3*0.8))</f>
        <v>25.370000000000005</v>
      </c>
    </row>
    <row r="545" spans="1:8">
      <c r="A545" s="342"/>
      <c r="B545" s="100" t="s">
        <v>417</v>
      </c>
      <c r="C545" s="324" t="s">
        <v>697</v>
      </c>
      <c r="D545" s="324"/>
      <c r="E545" s="324"/>
      <c r="F545" s="324"/>
      <c r="G545" s="324"/>
      <c r="H545" s="95">
        <f>((8.35+5.4+8.35+5.4)*1.3)-((0.8*0.6*4)+(3.75*0.8))</f>
        <v>30.83</v>
      </c>
    </row>
    <row r="546" spans="1:8">
      <c r="A546" s="342"/>
      <c r="B546" s="100" t="s">
        <v>460</v>
      </c>
      <c r="C546" s="324" t="s">
        <v>698</v>
      </c>
      <c r="D546" s="324"/>
      <c r="E546" s="324"/>
      <c r="F546" s="324"/>
      <c r="G546" s="324"/>
      <c r="H546" s="95">
        <f>((27.6+4.45+27.6+6.15+2.85+6.15)*1.3)-((0.8*0.6*12)+(1*0.6))</f>
        <v>90.880000000000024</v>
      </c>
    </row>
    <row r="547" spans="1:8" ht="29.25" customHeight="1">
      <c r="A547" s="342"/>
      <c r="B547" s="100" t="s">
        <v>461</v>
      </c>
      <c r="C547" s="324" t="s">
        <v>699</v>
      </c>
      <c r="D547" s="324"/>
      <c r="E547" s="324"/>
      <c r="F547" s="324"/>
      <c r="G547" s="324"/>
      <c r="H547" s="95">
        <f>((10.6+9.15+6.15+6.3)*1.3)-((0.8*0.6*4)+(1*0.6)+((2.8+2.7)*0.8))</f>
        <v>34.94</v>
      </c>
    </row>
    <row r="548" spans="1:8">
      <c r="A548" s="342"/>
      <c r="B548" s="100" t="s">
        <v>492</v>
      </c>
      <c r="C548" s="324" t="s">
        <v>700</v>
      </c>
      <c r="D548" s="324"/>
      <c r="E548" s="324"/>
      <c r="F548" s="324"/>
      <c r="G548" s="324"/>
      <c r="H548" s="95">
        <f>((4.5+3.25+4.5+3.25)*1.3)-((0.8*0.6)+(2*0.8))</f>
        <v>18.07</v>
      </c>
    </row>
    <row r="549" spans="1:8">
      <c r="A549" s="342"/>
      <c r="B549" s="100" t="s">
        <v>652</v>
      </c>
      <c r="C549" s="324" t="s">
        <v>701</v>
      </c>
      <c r="D549" s="324"/>
      <c r="E549" s="324"/>
      <c r="F549" s="324"/>
      <c r="G549" s="324"/>
      <c r="H549" s="95">
        <f>((2.3+3.25+2.5+3.25)*1.3)-((0.8*0.6)+(2*0.8))</f>
        <v>12.610000000000001</v>
      </c>
    </row>
    <row r="550" spans="1:8">
      <c r="A550" s="342"/>
      <c r="B550" s="100" t="s">
        <v>653</v>
      </c>
      <c r="C550" s="324" t="s">
        <v>702</v>
      </c>
      <c r="D550" s="324"/>
      <c r="E550" s="324"/>
      <c r="F550" s="324"/>
      <c r="G550" s="324"/>
      <c r="H550" s="95">
        <f>((5.15+2.95+2.15+0.15+3+3.25)*1.3)-((0.8*0.6)+(2*0.8*2))</f>
        <v>17.965000000000003</v>
      </c>
    </row>
    <row r="551" spans="1:8">
      <c r="A551" s="342"/>
      <c r="B551" s="100" t="s">
        <v>654</v>
      </c>
      <c r="C551" s="324" t="s">
        <v>703</v>
      </c>
      <c r="D551" s="324"/>
      <c r="E551" s="324"/>
      <c r="F551" s="324"/>
      <c r="G551" s="324"/>
      <c r="H551" s="95">
        <f>((1.4+2.5+1.4+2.5)*1.3)-(0.8*0.6)</f>
        <v>9.66</v>
      </c>
    </row>
    <row r="552" spans="1:8">
      <c r="A552" s="342"/>
      <c r="B552" s="100" t="s">
        <v>655</v>
      </c>
      <c r="C552" s="324" t="s">
        <v>704</v>
      </c>
      <c r="D552" s="324"/>
      <c r="E552" s="324"/>
      <c r="F552" s="324"/>
      <c r="G552" s="324"/>
      <c r="H552" s="95">
        <f>((6.4+1.1+6.4+1.1)*1.3)-(0.8*0.6*6)</f>
        <v>16.62</v>
      </c>
    </row>
    <row r="553" spans="1:8" ht="29.25" customHeight="1">
      <c r="A553" s="342"/>
      <c r="B553" s="100" t="s">
        <v>462</v>
      </c>
      <c r="C553" s="324" t="s">
        <v>705</v>
      </c>
      <c r="D553" s="324"/>
      <c r="E553" s="324"/>
      <c r="F553" s="324"/>
      <c r="G553" s="324"/>
      <c r="H553" s="95">
        <f>((54.5+4.8+12.75+4.8+12.75)*1.3)-((0.8*0.6*6)+(3*0.8*12)+(2*0.8*4))</f>
        <v>78.399999999999977</v>
      </c>
    </row>
    <row r="554" spans="1:8" ht="25.5" customHeight="1">
      <c r="A554" s="342"/>
      <c r="B554" s="100" t="s">
        <v>394</v>
      </c>
      <c r="C554" s="324" t="s">
        <v>706</v>
      </c>
      <c r="D554" s="324"/>
      <c r="E554" s="324"/>
      <c r="F554" s="324"/>
      <c r="G554" s="324"/>
      <c r="H554" s="95">
        <f>((2.75+14.05+3.26+11.82+5.84)*1.3)-(((1.9+3+3.75+1.93)*0.8)+(0.8*0.6))</f>
        <v>40.091999999999999</v>
      </c>
    </row>
    <row r="555" spans="1:8" ht="30.75" customHeight="1">
      <c r="A555" s="342"/>
      <c r="B555" s="100" t="s">
        <v>644</v>
      </c>
      <c r="C555" s="324" t="s">
        <v>707</v>
      </c>
      <c r="D555" s="324"/>
      <c r="E555" s="324"/>
      <c r="F555" s="324"/>
      <c r="G555" s="324"/>
      <c r="H555" s="95">
        <f>((11.85+3.15+48.8+17.05)*1.3)-(((4.33+(3*9)+2.8+2.7+1.9)*0.8)+(0.8*0.6))</f>
        <v>73.640999999999991</v>
      </c>
    </row>
    <row r="556" spans="1:8">
      <c r="A556" s="342"/>
      <c r="B556" s="100" t="s">
        <v>444</v>
      </c>
      <c r="C556" s="324" t="s">
        <v>683</v>
      </c>
      <c r="D556" s="324"/>
      <c r="E556" s="324"/>
      <c r="F556" s="324"/>
      <c r="G556" s="324"/>
      <c r="H556" s="95">
        <f>((33+18+33+18)*0.9*2)-(1*0.9*2)</f>
        <v>181.79999999999998</v>
      </c>
    </row>
    <row r="557" spans="1:8">
      <c r="A557" s="342"/>
      <c r="B557" s="100" t="s">
        <v>661</v>
      </c>
      <c r="C557" s="324" t="s">
        <v>685</v>
      </c>
      <c r="D557" s="324"/>
      <c r="E557" s="324"/>
      <c r="F557" s="324"/>
      <c r="G557" s="324"/>
      <c r="H557" s="95">
        <f>((4*4)*2.5)</f>
        <v>40</v>
      </c>
    </row>
    <row r="558" spans="1:8" ht="14.25" customHeight="1">
      <c r="A558" s="342"/>
      <c r="B558" s="100" t="s">
        <v>512</v>
      </c>
      <c r="C558" s="324" t="s">
        <v>756</v>
      </c>
      <c r="D558" s="324"/>
      <c r="E558" s="324"/>
      <c r="F558" s="324"/>
      <c r="G558" s="324"/>
      <c r="H558" s="95">
        <f>((7.72+43.67+57.49+14.27+39.77+37.32+3.37+11.97+15.03+21.26+21.67)*2.2*2)</f>
        <v>1203.576</v>
      </c>
    </row>
    <row r="559" spans="1:8">
      <c r="A559" s="343"/>
      <c r="B559" s="87"/>
      <c r="C559" s="319" t="s">
        <v>177</v>
      </c>
      <c r="D559" s="319"/>
      <c r="E559" s="319"/>
      <c r="F559" s="319"/>
      <c r="G559" s="319"/>
      <c r="H559" s="96">
        <f>SUM(H529:H558)</f>
        <v>2283.6945000000001</v>
      </c>
    </row>
    <row r="560" spans="1:8">
      <c r="A560" s="329" t="str">
        <f>'PLANILHA ORÇAMENTARIA'!A97</f>
        <v>11.3</v>
      </c>
      <c r="B560" s="92">
        <f>'PLANILHA ORÇAMENTARIA'!B97</f>
        <v>88489</v>
      </c>
      <c r="C560" s="93" t="str">
        <f>'PLANILHA ORÇAMENTARIA'!C97</f>
        <v>SINAPI</v>
      </c>
      <c r="D560" s="318" t="str">
        <f>'PLANILHA ORÇAMENTARIA'!D97</f>
        <v>Aplicação manual de pintura com tinta látex acrílica em paredes, duas demãos - sobre paredes internas, externas.</v>
      </c>
      <c r="E560" s="318"/>
      <c r="F560" s="318"/>
      <c r="G560" s="91" t="str">
        <f>'PLANILHA ORÇAMENTARIA'!E97</f>
        <v>m²</v>
      </c>
      <c r="H560" s="94">
        <f>H591</f>
        <v>2283.6945000000001</v>
      </c>
    </row>
    <row r="561" spans="1:8">
      <c r="A561" s="330"/>
      <c r="B561" s="100" t="s">
        <v>428</v>
      </c>
      <c r="C561" s="324" t="s">
        <v>686</v>
      </c>
      <c r="D561" s="324"/>
      <c r="E561" s="324"/>
      <c r="F561" s="324"/>
      <c r="G561" s="324"/>
      <c r="H561" s="95">
        <f>((6.5+6.15+6.5+6.15)*1.3)-((0.8*0.6)+(6*0.8))</f>
        <v>27.61</v>
      </c>
    </row>
    <row r="562" spans="1:8">
      <c r="A562" s="330"/>
      <c r="B562" s="100" t="s">
        <v>430</v>
      </c>
      <c r="C562" s="324" t="s">
        <v>686</v>
      </c>
      <c r="D562" s="324"/>
      <c r="E562" s="324"/>
      <c r="F562" s="324"/>
      <c r="G562" s="324"/>
      <c r="H562" s="95">
        <f>((6.5+6.15+6.5+6.15)*1.3)-((0.8*0.6)+(6*0.8))</f>
        <v>27.61</v>
      </c>
    </row>
    <row r="563" spans="1:8">
      <c r="A563" s="330"/>
      <c r="B563" s="100" t="s">
        <v>431</v>
      </c>
      <c r="C563" s="324" t="s">
        <v>687</v>
      </c>
      <c r="D563" s="324"/>
      <c r="E563" s="324"/>
      <c r="F563" s="324"/>
      <c r="G563" s="324"/>
      <c r="H563" s="95">
        <f>((7.35+6.15+7.35+6.15)*1.3)-((0.8*0.6)+(6*0.8))</f>
        <v>29.82</v>
      </c>
    </row>
    <row r="564" spans="1:8">
      <c r="A564" s="330"/>
      <c r="B564" s="100" t="s">
        <v>411</v>
      </c>
      <c r="C564" s="324" t="s">
        <v>688</v>
      </c>
      <c r="D564" s="324"/>
      <c r="E564" s="324"/>
      <c r="F564" s="324"/>
      <c r="G564" s="324"/>
      <c r="H564" s="95">
        <f>((5.5+6.15+5.5+6.15)*1.3)-((0.8*0.6)+(3*0.8))</f>
        <v>27.409999999999997</v>
      </c>
    </row>
    <row r="565" spans="1:8">
      <c r="A565" s="330"/>
      <c r="B565" s="100" t="s">
        <v>414</v>
      </c>
      <c r="C565" s="324" t="s">
        <v>686</v>
      </c>
      <c r="D565" s="324"/>
      <c r="E565" s="324"/>
      <c r="F565" s="324"/>
      <c r="G565" s="324"/>
      <c r="H565" s="95">
        <f>((6.5+6.15+6.5+6.15)*1.3)-((0.8*0.6)+(6*0.8))</f>
        <v>27.61</v>
      </c>
    </row>
    <row r="566" spans="1:8">
      <c r="A566" s="330"/>
      <c r="B566" s="100" t="s">
        <v>432</v>
      </c>
      <c r="C566" s="324" t="s">
        <v>689</v>
      </c>
      <c r="D566" s="324"/>
      <c r="E566" s="324"/>
      <c r="F566" s="324"/>
      <c r="G566" s="324"/>
      <c r="H566" s="95">
        <f>((6.5+6.1+6.5+6.1)*1.3)-((0.8*0.6)+(6*0.8))</f>
        <v>27.480000000000004</v>
      </c>
    </row>
    <row r="567" spans="1:8" ht="14.25" customHeight="1">
      <c r="A567" s="330"/>
      <c r="B567" s="100" t="s">
        <v>413</v>
      </c>
      <c r="C567" s="324" t="s">
        <v>689</v>
      </c>
      <c r="D567" s="324"/>
      <c r="E567" s="324"/>
      <c r="F567" s="324"/>
      <c r="G567" s="324"/>
      <c r="H567" s="95">
        <f>((6.5+6.1+6.5+6.1)*1.3)-((0.8*0.6)+(6*0.8))</f>
        <v>27.480000000000004</v>
      </c>
    </row>
    <row r="568" spans="1:8" ht="14.25" customHeight="1">
      <c r="A568" s="330"/>
      <c r="B568" s="100" t="s">
        <v>433</v>
      </c>
      <c r="C568" s="324" t="s">
        <v>689</v>
      </c>
      <c r="D568" s="324"/>
      <c r="E568" s="324"/>
      <c r="F568" s="324"/>
      <c r="G568" s="324"/>
      <c r="H568" s="95">
        <f>((6.5+6.1+6.5+6.1)*1.3)-((0.8*0.6)+(6*0.8))</f>
        <v>27.480000000000004</v>
      </c>
    </row>
    <row r="569" spans="1:8" ht="14.25" customHeight="1">
      <c r="A569" s="330"/>
      <c r="B569" s="100" t="s">
        <v>429</v>
      </c>
      <c r="C569" s="324" t="s">
        <v>689</v>
      </c>
      <c r="D569" s="324"/>
      <c r="E569" s="324"/>
      <c r="F569" s="324"/>
      <c r="G569" s="324"/>
      <c r="H569" s="95">
        <f>((6.5+6.1+6.5+6.1)*1.3)-((0.8*0.6)+(6*0.8))</f>
        <v>27.480000000000004</v>
      </c>
    </row>
    <row r="570" spans="1:8">
      <c r="A570" s="330"/>
      <c r="B570" s="100" t="s">
        <v>426</v>
      </c>
      <c r="C570" s="324" t="s">
        <v>690</v>
      </c>
      <c r="D570" s="324"/>
      <c r="E570" s="324"/>
      <c r="F570" s="324"/>
      <c r="G570" s="324"/>
      <c r="H570" s="95">
        <f>((5.35+4.45+5.35+4.45)*1.3)-((0.8*0.6)+(4.3*0.8))</f>
        <v>21.560000000000002</v>
      </c>
    </row>
    <row r="571" spans="1:8">
      <c r="A571" s="330"/>
      <c r="B571" s="100" t="s">
        <v>434</v>
      </c>
      <c r="C571" s="324" t="s">
        <v>691</v>
      </c>
      <c r="D571" s="324"/>
      <c r="E571" s="324"/>
      <c r="F571" s="324"/>
      <c r="G571" s="324"/>
      <c r="H571" s="95">
        <f>((3+6.15+3+6.15)*1.3)-((1*0.6)+(2.9*0.8))</f>
        <v>20.870000000000005</v>
      </c>
    </row>
    <row r="572" spans="1:8" ht="30" customHeight="1">
      <c r="A572" s="330"/>
      <c r="B572" s="100" t="s">
        <v>435</v>
      </c>
      <c r="C572" s="324" t="s">
        <v>692</v>
      </c>
      <c r="D572" s="324"/>
      <c r="E572" s="324"/>
      <c r="F572" s="324"/>
      <c r="G572" s="324"/>
      <c r="H572" s="95">
        <f>((3+6+6+4.17+3+1.83+3)*1.3)-((0.8*0.6*3)+(2.8*0.8))</f>
        <v>31.42</v>
      </c>
    </row>
    <row r="573" spans="1:8" ht="30" customHeight="1">
      <c r="A573" s="330"/>
      <c r="B573" s="100" t="s">
        <v>453</v>
      </c>
      <c r="C573" s="324" t="s">
        <v>693</v>
      </c>
      <c r="D573" s="324"/>
      <c r="E573" s="324"/>
      <c r="F573" s="324"/>
      <c r="G573" s="324"/>
      <c r="H573" s="95">
        <f>((6.15+6.15+5.05+5.05)*1.3)+((0.8*0.6*2)+(3*0.7*2))</f>
        <v>34.28</v>
      </c>
    </row>
    <row r="574" spans="1:8" ht="33" customHeight="1">
      <c r="A574" s="330"/>
      <c r="B574" s="100" t="s">
        <v>456</v>
      </c>
      <c r="C574" s="324" t="s">
        <v>694</v>
      </c>
      <c r="D574" s="324"/>
      <c r="E574" s="324"/>
      <c r="F574" s="324"/>
      <c r="G574" s="324"/>
      <c r="H574" s="95">
        <f>((11.2+5.5+11.2+5.5)+1.3)-((0.8*0.6*8)+(1*2.3)+(3.65*0.7)+(1*0.5*2)+(3*0.7)+(1.93*1.45))</f>
        <v>20.106499999999997</v>
      </c>
    </row>
    <row r="575" spans="1:8">
      <c r="A575" s="330"/>
      <c r="B575" s="100" t="s">
        <v>436</v>
      </c>
      <c r="C575" s="324" t="s">
        <v>695</v>
      </c>
      <c r="D575" s="324"/>
      <c r="E575" s="324"/>
      <c r="F575" s="324"/>
      <c r="G575" s="324"/>
      <c r="H575" s="95">
        <f>((5.9+6+3.25+8.8+2.93)*1.3)-((0.8*0.6)+((1.9+2.4)*0.8))</f>
        <v>31.024000000000001</v>
      </c>
    </row>
    <row r="576" spans="1:8">
      <c r="A576" s="330"/>
      <c r="B576" s="100" t="s">
        <v>437</v>
      </c>
      <c r="C576" s="324" t="s">
        <v>696</v>
      </c>
      <c r="D576" s="324"/>
      <c r="E576" s="324"/>
      <c r="F576" s="324"/>
      <c r="G576" s="324"/>
      <c r="H576" s="95">
        <f>((6+5.05+6+5.05)*1.3)-((0.8*0.6*2)+(3*0.8))</f>
        <v>25.370000000000005</v>
      </c>
    </row>
    <row r="577" spans="1:8">
      <c r="A577" s="330"/>
      <c r="B577" s="100" t="s">
        <v>417</v>
      </c>
      <c r="C577" s="324" t="s">
        <v>697</v>
      </c>
      <c r="D577" s="324"/>
      <c r="E577" s="324"/>
      <c r="F577" s="324"/>
      <c r="G577" s="324"/>
      <c r="H577" s="95">
        <f>((8.35+5.4+8.35+5.4)*1.3)-((0.8*0.6*4)+(3.75*0.8))</f>
        <v>30.83</v>
      </c>
    </row>
    <row r="578" spans="1:8">
      <c r="A578" s="330"/>
      <c r="B578" s="100" t="s">
        <v>460</v>
      </c>
      <c r="C578" s="324" t="s">
        <v>698</v>
      </c>
      <c r="D578" s="324"/>
      <c r="E578" s="324"/>
      <c r="F578" s="324"/>
      <c r="G578" s="324"/>
      <c r="H578" s="95">
        <f>((27.6+4.45+27.6+6.15+2.85+6.15)*1.3)-((0.8*0.6*12)+(1*0.6))</f>
        <v>90.880000000000024</v>
      </c>
    </row>
    <row r="579" spans="1:8" ht="29.25" customHeight="1">
      <c r="A579" s="330"/>
      <c r="B579" s="100" t="s">
        <v>461</v>
      </c>
      <c r="C579" s="324" t="s">
        <v>699</v>
      </c>
      <c r="D579" s="324"/>
      <c r="E579" s="324"/>
      <c r="F579" s="324"/>
      <c r="G579" s="324"/>
      <c r="H579" s="95">
        <f>((10.6+9.15+6.15+6.3)*1.3)-((0.8*0.6*4)+(1*0.6)+((2.8+2.7)*0.8))</f>
        <v>34.94</v>
      </c>
    </row>
    <row r="580" spans="1:8">
      <c r="A580" s="330"/>
      <c r="B580" s="100" t="s">
        <v>492</v>
      </c>
      <c r="C580" s="324" t="s">
        <v>700</v>
      </c>
      <c r="D580" s="324"/>
      <c r="E580" s="324"/>
      <c r="F580" s="324"/>
      <c r="G580" s="324"/>
      <c r="H580" s="95">
        <f>((4.5+3.25+4.5+3.25)*1.3)-((0.8*0.6)+(2*0.8))</f>
        <v>18.07</v>
      </c>
    </row>
    <row r="581" spans="1:8">
      <c r="A581" s="330"/>
      <c r="B581" s="100" t="s">
        <v>652</v>
      </c>
      <c r="C581" s="324" t="s">
        <v>701</v>
      </c>
      <c r="D581" s="324"/>
      <c r="E581" s="324"/>
      <c r="F581" s="324"/>
      <c r="G581" s="324"/>
      <c r="H581" s="95">
        <f>((2.3+3.25+2.5+3.25)*1.3)-((0.8*0.6)+(2*0.8))</f>
        <v>12.610000000000001</v>
      </c>
    </row>
    <row r="582" spans="1:8">
      <c r="A582" s="330"/>
      <c r="B582" s="100" t="s">
        <v>653</v>
      </c>
      <c r="C582" s="324" t="s">
        <v>702</v>
      </c>
      <c r="D582" s="324"/>
      <c r="E582" s="324"/>
      <c r="F582" s="324"/>
      <c r="G582" s="324"/>
      <c r="H582" s="95">
        <f>((5.15+2.95+2.15+0.15+3+3.25)*1.3)-((0.8*0.6)+(2*0.8*2))</f>
        <v>17.965000000000003</v>
      </c>
    </row>
    <row r="583" spans="1:8">
      <c r="A583" s="330"/>
      <c r="B583" s="100" t="s">
        <v>654</v>
      </c>
      <c r="C583" s="324" t="s">
        <v>703</v>
      </c>
      <c r="D583" s="324"/>
      <c r="E583" s="324"/>
      <c r="F583" s="324"/>
      <c r="G583" s="324"/>
      <c r="H583" s="95">
        <f>((1.4+2.5+1.4+2.5)*1.3)-(0.8*0.6)</f>
        <v>9.66</v>
      </c>
    </row>
    <row r="584" spans="1:8">
      <c r="A584" s="330"/>
      <c r="B584" s="100" t="s">
        <v>655</v>
      </c>
      <c r="C584" s="324" t="s">
        <v>704</v>
      </c>
      <c r="D584" s="324"/>
      <c r="E584" s="324"/>
      <c r="F584" s="324"/>
      <c r="G584" s="324"/>
      <c r="H584" s="95">
        <f>((6.4+1.1+6.4+1.1)*1.3)-(0.8*0.6*6)</f>
        <v>16.62</v>
      </c>
    </row>
    <row r="585" spans="1:8" ht="29.25" customHeight="1">
      <c r="A585" s="330"/>
      <c r="B585" s="100" t="s">
        <v>462</v>
      </c>
      <c r="C585" s="324" t="s">
        <v>705</v>
      </c>
      <c r="D585" s="324"/>
      <c r="E585" s="324"/>
      <c r="F585" s="324"/>
      <c r="G585" s="324"/>
      <c r="H585" s="95">
        <f>((54.5+4.8+12.75+4.8+12.75)*1.3)-((0.8*0.6*6)+(3*0.8*12)+(2*0.8*4))</f>
        <v>78.399999999999977</v>
      </c>
    </row>
    <row r="586" spans="1:8" ht="25.5" customHeight="1">
      <c r="A586" s="330"/>
      <c r="B586" s="100" t="s">
        <v>394</v>
      </c>
      <c r="C586" s="324" t="s">
        <v>706</v>
      </c>
      <c r="D586" s="324"/>
      <c r="E586" s="324"/>
      <c r="F586" s="324"/>
      <c r="G586" s="324"/>
      <c r="H586" s="95">
        <f>((2.75+14.05+3.26+11.82+5.84)*1.3)-(((1.9+3+3.75+1.93)*0.8)+(0.8*0.6))</f>
        <v>40.091999999999999</v>
      </c>
    </row>
    <row r="587" spans="1:8" ht="30.75" customHeight="1">
      <c r="A587" s="330"/>
      <c r="B587" s="100" t="s">
        <v>644</v>
      </c>
      <c r="C587" s="324" t="s">
        <v>707</v>
      </c>
      <c r="D587" s="324"/>
      <c r="E587" s="324"/>
      <c r="F587" s="324"/>
      <c r="G587" s="324"/>
      <c r="H587" s="95">
        <f>((11.85+3.15+48.8+17.05)*1.3)-(((4.33+(3*9)+2.8+2.7+1.9)*0.8)+(0.8*0.6))</f>
        <v>73.640999999999991</v>
      </c>
    </row>
    <row r="588" spans="1:8">
      <c r="A588" s="330"/>
      <c r="B588" s="100" t="s">
        <v>444</v>
      </c>
      <c r="C588" s="324" t="s">
        <v>683</v>
      </c>
      <c r="D588" s="324"/>
      <c r="E588" s="324"/>
      <c r="F588" s="324"/>
      <c r="G588" s="324"/>
      <c r="H588" s="95">
        <f>((33+18+33+18)*0.9*2)-(1*0.9*2)</f>
        <v>181.79999999999998</v>
      </c>
    </row>
    <row r="589" spans="1:8">
      <c r="A589" s="330"/>
      <c r="B589" s="100" t="s">
        <v>661</v>
      </c>
      <c r="C589" s="324" t="s">
        <v>685</v>
      </c>
      <c r="D589" s="324"/>
      <c r="E589" s="324"/>
      <c r="F589" s="324"/>
      <c r="G589" s="324"/>
      <c r="H589" s="95">
        <f>((4*4)*2.5)</f>
        <v>40</v>
      </c>
    </row>
    <row r="590" spans="1:8" ht="14.25" customHeight="1">
      <c r="A590" s="330"/>
      <c r="B590" s="100" t="s">
        <v>512</v>
      </c>
      <c r="C590" s="324" t="s">
        <v>756</v>
      </c>
      <c r="D590" s="324"/>
      <c r="E590" s="324"/>
      <c r="F590" s="324"/>
      <c r="G590" s="324"/>
      <c r="H590" s="95">
        <f>((7.72+43.67+57.49+14.27+39.77+37.32+3.37+11.97+15.03+21.26+21.67)*2.2*2)</f>
        <v>1203.576</v>
      </c>
    </row>
    <row r="591" spans="1:8">
      <c r="A591" s="331"/>
      <c r="B591" s="87"/>
      <c r="C591" s="319" t="s">
        <v>177</v>
      </c>
      <c r="D591" s="319"/>
      <c r="E591" s="319"/>
      <c r="F591" s="319"/>
      <c r="G591" s="319"/>
      <c r="H591" s="96">
        <f>SUM(H561:H590)</f>
        <v>2283.6945000000001</v>
      </c>
    </row>
    <row r="592" spans="1:8">
      <c r="A592" s="329" t="str">
        <f>'PLANILHA ORÇAMENTARIA'!A98</f>
        <v>11.4</v>
      </c>
      <c r="B592" s="92" t="str">
        <f>'PLANILHA ORÇAMENTARIA'!B98</f>
        <v>PIN-LIX-015</v>
      </c>
      <c r="C592" s="93" t="str">
        <f>'PLANILHA ORÇAMENTARIA'!C98</f>
        <v>SETOP</v>
      </c>
      <c r="D592" s="318" t="str">
        <f>'PLANILHA ORÇAMENTARIA'!D98</f>
        <v>Lixamento manual em superfície metálica para remoção de tinta</v>
      </c>
      <c r="E592" s="318"/>
      <c r="F592" s="318"/>
      <c r="G592" s="91" t="str">
        <f>'PLANILHA ORÇAMENTARIA'!E98</f>
        <v>m²</v>
      </c>
      <c r="H592" s="94">
        <f>H630</f>
        <v>389.81000000000006</v>
      </c>
    </row>
    <row r="593" spans="1:8">
      <c r="A593" s="330"/>
      <c r="B593" s="100" t="s">
        <v>428</v>
      </c>
      <c r="C593" s="324" t="s">
        <v>714</v>
      </c>
      <c r="D593" s="324"/>
      <c r="E593" s="324"/>
      <c r="F593" s="324"/>
      <c r="G593" s="324"/>
      <c r="H593" s="95">
        <f>6*1.5*2</f>
        <v>18</v>
      </c>
    </row>
    <row r="594" spans="1:8">
      <c r="A594" s="330"/>
      <c r="B594" s="100" t="s">
        <v>430</v>
      </c>
      <c r="C594" s="324" t="s">
        <v>714</v>
      </c>
      <c r="D594" s="324"/>
      <c r="E594" s="324"/>
      <c r="F594" s="324"/>
      <c r="G594" s="324"/>
      <c r="H594" s="95">
        <f t="shared" ref="H594:H602" si="9">6*1.5*2</f>
        <v>18</v>
      </c>
    </row>
    <row r="595" spans="1:8">
      <c r="A595" s="330"/>
      <c r="B595" s="100" t="s">
        <v>431</v>
      </c>
      <c r="C595" s="324" t="s">
        <v>714</v>
      </c>
      <c r="D595" s="324"/>
      <c r="E595" s="324"/>
      <c r="F595" s="324"/>
      <c r="G595" s="324"/>
      <c r="H595" s="95">
        <f t="shared" si="9"/>
        <v>18</v>
      </c>
    </row>
    <row r="596" spans="1:8">
      <c r="A596" s="330"/>
      <c r="B596" s="100" t="s">
        <v>411</v>
      </c>
      <c r="C596" s="324" t="s">
        <v>715</v>
      </c>
      <c r="D596" s="324"/>
      <c r="E596" s="324"/>
      <c r="F596" s="324"/>
      <c r="G596" s="324"/>
      <c r="H596" s="95">
        <f>3*1.5*2</f>
        <v>9</v>
      </c>
    </row>
    <row r="597" spans="1:8">
      <c r="A597" s="330"/>
      <c r="B597" s="100" t="s">
        <v>411</v>
      </c>
      <c r="C597" s="324" t="s">
        <v>716</v>
      </c>
      <c r="D597" s="324"/>
      <c r="E597" s="324"/>
      <c r="F597" s="324"/>
      <c r="G597" s="324"/>
      <c r="H597" s="95">
        <f>0.8*2.1*2</f>
        <v>3.3600000000000003</v>
      </c>
    </row>
    <row r="598" spans="1:8">
      <c r="A598" s="330"/>
      <c r="B598" s="100" t="s">
        <v>414</v>
      </c>
      <c r="C598" s="324" t="s">
        <v>714</v>
      </c>
      <c r="D598" s="324"/>
      <c r="E598" s="324"/>
      <c r="F598" s="324"/>
      <c r="G598" s="324"/>
      <c r="H598" s="95">
        <f t="shared" si="9"/>
        <v>18</v>
      </c>
    </row>
    <row r="599" spans="1:8">
      <c r="A599" s="330"/>
      <c r="B599" s="100" t="s">
        <v>432</v>
      </c>
      <c r="C599" s="324" t="s">
        <v>714</v>
      </c>
      <c r="D599" s="324"/>
      <c r="E599" s="324"/>
      <c r="F599" s="324"/>
      <c r="G599" s="324"/>
      <c r="H599" s="95">
        <f t="shared" si="9"/>
        <v>18</v>
      </c>
    </row>
    <row r="600" spans="1:8">
      <c r="A600" s="330"/>
      <c r="B600" s="100" t="s">
        <v>413</v>
      </c>
      <c r="C600" s="324" t="s">
        <v>714</v>
      </c>
      <c r="D600" s="324"/>
      <c r="E600" s="324"/>
      <c r="F600" s="324"/>
      <c r="G600" s="324"/>
      <c r="H600" s="95">
        <f t="shared" si="9"/>
        <v>18</v>
      </c>
    </row>
    <row r="601" spans="1:8">
      <c r="A601" s="330"/>
      <c r="B601" s="100" t="s">
        <v>433</v>
      </c>
      <c r="C601" s="324" t="s">
        <v>714</v>
      </c>
      <c r="D601" s="324"/>
      <c r="E601" s="324"/>
      <c r="F601" s="324"/>
      <c r="G601" s="324"/>
      <c r="H601" s="95">
        <f t="shared" si="9"/>
        <v>18</v>
      </c>
    </row>
    <row r="602" spans="1:8">
      <c r="A602" s="330"/>
      <c r="B602" s="100" t="s">
        <v>429</v>
      </c>
      <c r="C602" s="324" t="s">
        <v>714</v>
      </c>
      <c r="D602" s="324"/>
      <c r="E602" s="324"/>
      <c r="F602" s="324"/>
      <c r="G602" s="324"/>
      <c r="H602" s="95">
        <f t="shared" si="9"/>
        <v>18</v>
      </c>
    </row>
    <row r="603" spans="1:8">
      <c r="A603" s="330"/>
      <c r="B603" s="100" t="s">
        <v>426</v>
      </c>
      <c r="C603" s="324" t="s">
        <v>715</v>
      </c>
      <c r="D603" s="324"/>
      <c r="E603" s="324"/>
      <c r="F603" s="324"/>
      <c r="G603" s="324"/>
      <c r="H603" s="95">
        <f>3*1.5*2</f>
        <v>9</v>
      </c>
    </row>
    <row r="604" spans="1:8">
      <c r="A604" s="330"/>
      <c r="B604" s="100" t="s">
        <v>461</v>
      </c>
      <c r="C604" s="324" t="s">
        <v>721</v>
      </c>
      <c r="D604" s="324"/>
      <c r="E604" s="324"/>
      <c r="F604" s="324"/>
      <c r="G604" s="324"/>
      <c r="H604" s="95">
        <f>(2.7+2.8)*1.5*2</f>
        <v>16.5</v>
      </c>
    </row>
    <row r="605" spans="1:8">
      <c r="A605" s="330"/>
      <c r="B605" s="100" t="s">
        <v>461</v>
      </c>
      <c r="C605" s="324" t="s">
        <v>722</v>
      </c>
      <c r="D605" s="324"/>
      <c r="E605" s="324"/>
      <c r="F605" s="324"/>
      <c r="G605" s="324"/>
      <c r="H605" s="95">
        <f>(1.6+0.8)*2.1*2</f>
        <v>10.080000000000002</v>
      </c>
    </row>
    <row r="606" spans="1:8">
      <c r="A606" s="330"/>
      <c r="B606" s="100" t="s">
        <v>396</v>
      </c>
      <c r="C606" s="324" t="s">
        <v>726</v>
      </c>
      <c r="D606" s="324"/>
      <c r="E606" s="324"/>
      <c r="F606" s="324"/>
      <c r="G606" s="324"/>
      <c r="H606" s="95">
        <f>3*1.2*2</f>
        <v>7.1999999999999993</v>
      </c>
    </row>
    <row r="607" spans="1:8">
      <c r="A607" s="330"/>
      <c r="B607" s="100" t="s">
        <v>396</v>
      </c>
      <c r="C607" s="324" t="s">
        <v>727</v>
      </c>
      <c r="D607" s="324"/>
      <c r="E607" s="324"/>
      <c r="F607" s="324"/>
      <c r="G607" s="324"/>
      <c r="H607" s="95">
        <f>1.7*1.45*2</f>
        <v>4.93</v>
      </c>
    </row>
    <row r="608" spans="1:8" ht="14.25" customHeight="1">
      <c r="A608" s="330"/>
      <c r="B608" s="100" t="s">
        <v>396</v>
      </c>
      <c r="C608" s="324" t="s">
        <v>720</v>
      </c>
      <c r="D608" s="324"/>
      <c r="E608" s="324"/>
      <c r="F608" s="324"/>
      <c r="G608" s="324"/>
      <c r="H608" s="95">
        <f>0.8*2.1*2</f>
        <v>3.3600000000000003</v>
      </c>
    </row>
    <row r="609" spans="1:8">
      <c r="A609" s="330"/>
      <c r="B609" s="100" t="s">
        <v>708</v>
      </c>
      <c r="C609" s="324" t="s">
        <v>728</v>
      </c>
      <c r="D609" s="324"/>
      <c r="E609" s="324"/>
      <c r="F609" s="324"/>
      <c r="G609" s="324"/>
      <c r="H609" s="95">
        <f>1*0.5*2</f>
        <v>1</v>
      </c>
    </row>
    <row r="610" spans="1:8">
      <c r="A610" s="330"/>
      <c r="B610" s="100" t="s">
        <v>506</v>
      </c>
      <c r="C610" s="324" t="s">
        <v>728</v>
      </c>
      <c r="D610" s="324"/>
      <c r="E610" s="324"/>
      <c r="F610" s="324"/>
      <c r="G610" s="324"/>
      <c r="H610" s="95">
        <f>1*0.5*2</f>
        <v>1</v>
      </c>
    </row>
    <row r="611" spans="1:8">
      <c r="A611" s="330"/>
      <c r="B611" s="100" t="s">
        <v>418</v>
      </c>
      <c r="C611" s="324" t="s">
        <v>729</v>
      </c>
      <c r="D611" s="324"/>
      <c r="E611" s="324"/>
      <c r="F611" s="324"/>
      <c r="G611" s="324"/>
      <c r="H611" s="95">
        <f>1.9*1*2</f>
        <v>3.8</v>
      </c>
    </row>
    <row r="612" spans="1:8">
      <c r="A612" s="330"/>
      <c r="B612" s="100" t="s">
        <v>434</v>
      </c>
      <c r="C612" s="324" t="s">
        <v>715</v>
      </c>
      <c r="D612" s="324"/>
      <c r="E612" s="324"/>
      <c r="F612" s="324"/>
      <c r="G612" s="324"/>
      <c r="H612" s="95">
        <f>3*1.5*2</f>
        <v>9</v>
      </c>
    </row>
    <row r="613" spans="1:8" ht="14.25" customHeight="1">
      <c r="A613" s="330"/>
      <c r="B613" s="100" t="s">
        <v>434</v>
      </c>
      <c r="C613" s="324" t="s">
        <v>716</v>
      </c>
      <c r="D613" s="324"/>
      <c r="E613" s="324"/>
      <c r="F613" s="324"/>
      <c r="G613" s="324"/>
      <c r="H613" s="95">
        <f>0.8*2.1*2</f>
        <v>3.3600000000000003</v>
      </c>
    </row>
    <row r="614" spans="1:8">
      <c r="A614" s="330"/>
      <c r="B614" s="100" t="s">
        <v>435</v>
      </c>
      <c r="C614" s="324" t="s">
        <v>715</v>
      </c>
      <c r="D614" s="324"/>
      <c r="E614" s="324"/>
      <c r="F614" s="324"/>
      <c r="G614" s="324"/>
      <c r="H614" s="95">
        <f>3*1.5*2</f>
        <v>9</v>
      </c>
    </row>
    <row r="615" spans="1:8">
      <c r="A615" s="330"/>
      <c r="B615" s="100" t="s">
        <v>456</v>
      </c>
      <c r="C615" s="324" t="s">
        <v>717</v>
      </c>
      <c r="D615" s="324"/>
      <c r="E615" s="324"/>
      <c r="F615" s="324"/>
      <c r="G615" s="324"/>
      <c r="H615" s="95">
        <f>3.6*1.5*2</f>
        <v>10.8</v>
      </c>
    </row>
    <row r="616" spans="1:8" ht="14.25" customHeight="1">
      <c r="A616" s="330"/>
      <c r="B616" s="100" t="s">
        <v>456</v>
      </c>
      <c r="C616" s="324" t="s">
        <v>720</v>
      </c>
      <c r="D616" s="324"/>
      <c r="E616" s="324"/>
      <c r="F616" s="324"/>
      <c r="G616" s="324"/>
      <c r="H616" s="95">
        <f>0.8*2.1*2</f>
        <v>3.3600000000000003</v>
      </c>
    </row>
    <row r="617" spans="1:8">
      <c r="A617" s="330"/>
      <c r="B617" s="100" t="s">
        <v>436</v>
      </c>
      <c r="C617" s="324" t="s">
        <v>718</v>
      </c>
      <c r="D617" s="324"/>
      <c r="E617" s="324"/>
      <c r="F617" s="324"/>
      <c r="G617" s="324"/>
      <c r="H617" s="95">
        <f>(2.4+1.9)*1.5*2</f>
        <v>12.899999999999999</v>
      </c>
    </row>
    <row r="618" spans="1:8">
      <c r="A618" s="330"/>
      <c r="B618" s="100" t="s">
        <v>437</v>
      </c>
      <c r="C618" s="324" t="s">
        <v>715</v>
      </c>
      <c r="D618" s="324"/>
      <c r="E618" s="324"/>
      <c r="F618" s="324"/>
      <c r="G618" s="324"/>
      <c r="H618" s="95">
        <f>3*1.5*2</f>
        <v>9</v>
      </c>
    </row>
    <row r="619" spans="1:8">
      <c r="A619" s="330"/>
      <c r="B619" s="100" t="s">
        <v>417</v>
      </c>
      <c r="C619" s="324" t="s">
        <v>719</v>
      </c>
      <c r="D619" s="324"/>
      <c r="E619" s="324"/>
      <c r="F619" s="324"/>
      <c r="G619" s="324"/>
      <c r="H619" s="95">
        <f>3.8*1.5*2</f>
        <v>11.399999999999999</v>
      </c>
    </row>
    <row r="620" spans="1:8" ht="14.25" customHeight="1">
      <c r="A620" s="330"/>
      <c r="B620" s="100" t="s">
        <v>417</v>
      </c>
      <c r="C620" s="324" t="s">
        <v>720</v>
      </c>
      <c r="D620" s="324"/>
      <c r="E620" s="324"/>
      <c r="F620" s="324"/>
      <c r="G620" s="324"/>
      <c r="H620" s="95">
        <f>0.8*2.1*2</f>
        <v>3.3600000000000003</v>
      </c>
    </row>
    <row r="621" spans="1:8" ht="14.25" customHeight="1">
      <c r="A621" s="330"/>
      <c r="B621" s="100" t="s">
        <v>640</v>
      </c>
      <c r="C621" s="324" t="s">
        <v>723</v>
      </c>
      <c r="D621" s="324"/>
      <c r="E621" s="324"/>
      <c r="F621" s="324"/>
      <c r="G621" s="324"/>
      <c r="H621" s="95">
        <f>1.4*0.5*2</f>
        <v>1.4</v>
      </c>
    </row>
    <row r="622" spans="1:8" ht="14.25" customHeight="1">
      <c r="A622" s="330"/>
      <c r="B622" s="100" t="s">
        <v>641</v>
      </c>
      <c r="C622" s="324" t="s">
        <v>724</v>
      </c>
      <c r="D622" s="324"/>
      <c r="E622" s="324"/>
      <c r="F622" s="324"/>
      <c r="G622" s="324"/>
      <c r="H622" s="95">
        <f>2*1.5*2</f>
        <v>6</v>
      </c>
    </row>
    <row r="623" spans="1:8" ht="14.25" customHeight="1">
      <c r="A623" s="330"/>
      <c r="B623" s="100" t="s">
        <v>730</v>
      </c>
      <c r="C623" s="324" t="s">
        <v>731</v>
      </c>
      <c r="D623" s="324"/>
      <c r="E623" s="324"/>
      <c r="F623" s="324"/>
      <c r="G623" s="324"/>
      <c r="H623" s="95">
        <f>10.5*1*2</f>
        <v>21</v>
      </c>
    </row>
    <row r="624" spans="1:8">
      <c r="A624" s="330"/>
      <c r="B624" s="100" t="s">
        <v>492</v>
      </c>
      <c r="C624" s="324" t="s">
        <v>724</v>
      </c>
      <c r="D624" s="324"/>
      <c r="E624" s="324"/>
      <c r="F624" s="324"/>
      <c r="G624" s="324"/>
      <c r="H624" s="95">
        <f>2*1.5*2</f>
        <v>6</v>
      </c>
    </row>
    <row r="625" spans="1:8">
      <c r="A625" s="330"/>
      <c r="B625" s="100" t="s">
        <v>652</v>
      </c>
      <c r="C625" s="324" t="s">
        <v>724</v>
      </c>
      <c r="D625" s="324"/>
      <c r="E625" s="324"/>
      <c r="F625" s="324"/>
      <c r="G625" s="324"/>
      <c r="H625" s="95">
        <f t="shared" ref="H625" si="10">2*1.5*2</f>
        <v>6</v>
      </c>
    </row>
    <row r="626" spans="1:8">
      <c r="A626" s="330"/>
      <c r="B626" s="100" t="s">
        <v>653</v>
      </c>
      <c r="C626" s="324" t="s">
        <v>732</v>
      </c>
      <c r="D626" s="324"/>
      <c r="E626" s="324"/>
      <c r="F626" s="324"/>
      <c r="G626" s="324"/>
      <c r="H626" s="95">
        <f>2*1.5*2*2</f>
        <v>12</v>
      </c>
    </row>
    <row r="627" spans="1:8">
      <c r="A627" s="330"/>
      <c r="B627" s="100" t="s">
        <v>462</v>
      </c>
      <c r="C627" s="324" t="s">
        <v>733</v>
      </c>
      <c r="D627" s="324"/>
      <c r="E627" s="324"/>
      <c r="F627" s="324"/>
      <c r="G627" s="324"/>
      <c r="H627" s="95">
        <f>2*2*2*2</f>
        <v>16</v>
      </c>
    </row>
    <row r="628" spans="1:8">
      <c r="A628" s="330"/>
      <c r="B628" s="100" t="s">
        <v>394</v>
      </c>
      <c r="C628" s="324" t="s">
        <v>725</v>
      </c>
      <c r="D628" s="324"/>
      <c r="E628" s="324"/>
      <c r="F628" s="324"/>
      <c r="G628" s="324"/>
      <c r="H628" s="95">
        <f>1.5*2*2</f>
        <v>6</v>
      </c>
    </row>
    <row r="629" spans="1:8">
      <c r="A629" s="330"/>
      <c r="B629" s="100" t="s">
        <v>734</v>
      </c>
      <c r="C629" s="324" t="s">
        <v>735</v>
      </c>
      <c r="D629" s="324"/>
      <c r="E629" s="324"/>
      <c r="F629" s="324"/>
      <c r="G629" s="324"/>
      <c r="H629" s="95">
        <f>6*2.5*2</f>
        <v>30</v>
      </c>
    </row>
    <row r="630" spans="1:8">
      <c r="A630" s="331"/>
      <c r="B630" s="87"/>
      <c r="C630" s="319" t="s">
        <v>177</v>
      </c>
      <c r="D630" s="319"/>
      <c r="E630" s="319"/>
      <c r="F630" s="319"/>
      <c r="G630" s="319"/>
      <c r="H630" s="96">
        <f>SUM(H593:H629)</f>
        <v>389.81000000000006</v>
      </c>
    </row>
    <row r="631" spans="1:8" ht="29.25" customHeight="1">
      <c r="A631" s="341" t="str">
        <f>'PLANILHA ORÇAMENTARIA'!A99</f>
        <v>11.5</v>
      </c>
      <c r="B631" s="92" t="str">
        <f>'PLANILHA ORÇAMENTARIA'!B99</f>
        <v>PIN-LAT-006</v>
      </c>
      <c r="C631" s="93" t="str">
        <f>'PLANILHA ORÇAMENTARIA'!C99</f>
        <v>SETOP</v>
      </c>
      <c r="D631" s="318" t="str">
        <f>'PLANILHA ORÇAMENTARIA'!D99</f>
        <v>Pintura látex (pva) em teto, duas (2) demãos, exclusive selador acrílico e massa corrida (pva)</v>
      </c>
      <c r="E631" s="318"/>
      <c r="F631" s="318"/>
      <c r="G631" s="91" t="str">
        <f>'PLANILHA ORÇAMENTARIA'!E99</f>
        <v>m²</v>
      </c>
      <c r="H631" s="94">
        <f>H658</f>
        <v>570.33000000000004</v>
      </c>
    </row>
    <row r="632" spans="1:8">
      <c r="A632" s="342"/>
      <c r="B632" s="100" t="s">
        <v>431</v>
      </c>
      <c r="C632" s="314" t="s">
        <v>710</v>
      </c>
      <c r="D632" s="314"/>
      <c r="E632" s="314"/>
      <c r="F632" s="314"/>
      <c r="G632" s="314"/>
      <c r="H632" s="101">
        <v>44.1</v>
      </c>
    </row>
    <row r="633" spans="1:8">
      <c r="A633" s="342"/>
      <c r="B633" s="100" t="s">
        <v>411</v>
      </c>
      <c r="C633" s="314" t="s">
        <v>710</v>
      </c>
      <c r="D633" s="314"/>
      <c r="E633" s="314"/>
      <c r="F633" s="314"/>
      <c r="G633" s="314"/>
      <c r="H633" s="101">
        <v>36</v>
      </c>
    </row>
    <row r="634" spans="1:8">
      <c r="A634" s="342"/>
      <c r="B634" s="100" t="s">
        <v>432</v>
      </c>
      <c r="C634" s="314" t="s">
        <v>710</v>
      </c>
      <c r="D634" s="314"/>
      <c r="E634" s="314"/>
      <c r="F634" s="314"/>
      <c r="G634" s="314"/>
      <c r="H634" s="101">
        <v>39</v>
      </c>
    </row>
    <row r="635" spans="1:8">
      <c r="A635" s="342"/>
      <c r="B635" s="100" t="s">
        <v>413</v>
      </c>
      <c r="C635" s="314" t="s">
        <v>710</v>
      </c>
      <c r="D635" s="314"/>
      <c r="E635" s="314"/>
      <c r="F635" s="314"/>
      <c r="G635" s="314"/>
      <c r="H635" s="101">
        <v>39</v>
      </c>
    </row>
    <row r="636" spans="1:8">
      <c r="A636" s="342"/>
      <c r="B636" s="100" t="s">
        <v>449</v>
      </c>
      <c r="C636" s="314" t="s">
        <v>710</v>
      </c>
      <c r="D636" s="314"/>
      <c r="E636" s="314"/>
      <c r="F636" s="314"/>
      <c r="G636" s="314"/>
      <c r="H636" s="101">
        <v>18.600000000000001</v>
      </c>
    </row>
    <row r="637" spans="1:8">
      <c r="A637" s="342"/>
      <c r="B637" s="100" t="s">
        <v>450</v>
      </c>
      <c r="C637" s="314" t="s">
        <v>710</v>
      </c>
      <c r="D637" s="314"/>
      <c r="E637" s="314"/>
      <c r="F637" s="314"/>
      <c r="G637" s="314"/>
      <c r="H637" s="101">
        <v>14.67</v>
      </c>
    </row>
    <row r="638" spans="1:8">
      <c r="A638" s="342"/>
      <c r="B638" s="100" t="s">
        <v>451</v>
      </c>
      <c r="C638" s="314" t="s">
        <v>710</v>
      </c>
      <c r="D638" s="314"/>
      <c r="E638" s="314"/>
      <c r="F638" s="314"/>
      <c r="G638" s="314"/>
      <c r="H638" s="101">
        <v>3.34</v>
      </c>
    </row>
    <row r="639" spans="1:8">
      <c r="A639" s="342"/>
      <c r="B639" s="100" t="s">
        <v>426</v>
      </c>
      <c r="C639" s="314" t="s">
        <v>710</v>
      </c>
      <c r="D639" s="314"/>
      <c r="E639" s="314"/>
      <c r="F639" s="314"/>
      <c r="G639" s="314"/>
      <c r="H639" s="101">
        <v>23.8</v>
      </c>
    </row>
    <row r="640" spans="1:8">
      <c r="A640" s="342"/>
      <c r="B640" s="100" t="s">
        <v>435</v>
      </c>
      <c r="C640" s="314" t="s">
        <v>710</v>
      </c>
      <c r="D640" s="314"/>
      <c r="E640" s="314"/>
      <c r="F640" s="314"/>
      <c r="G640" s="314"/>
      <c r="H640" s="101">
        <v>11.89</v>
      </c>
    </row>
    <row r="641" spans="1:8">
      <c r="A641" s="342"/>
      <c r="B641" s="100" t="s">
        <v>452</v>
      </c>
      <c r="C641" s="314" t="s">
        <v>710</v>
      </c>
      <c r="D641" s="314"/>
      <c r="E641" s="314"/>
      <c r="F641" s="314"/>
      <c r="G641" s="314"/>
      <c r="H641" s="101">
        <v>4.79</v>
      </c>
    </row>
    <row r="642" spans="1:8">
      <c r="A642" s="342"/>
      <c r="B642" s="100" t="s">
        <v>453</v>
      </c>
      <c r="C642" s="314" t="s">
        <v>710</v>
      </c>
      <c r="D642" s="314"/>
      <c r="E642" s="314"/>
      <c r="F642" s="314"/>
      <c r="G642" s="314"/>
      <c r="H642" s="101">
        <v>31.06</v>
      </c>
    </row>
    <row r="643" spans="1:8">
      <c r="A643" s="342"/>
      <c r="B643" s="100" t="s">
        <v>396</v>
      </c>
      <c r="C643" s="314" t="s">
        <v>710</v>
      </c>
      <c r="D643" s="314"/>
      <c r="E643" s="314"/>
      <c r="F643" s="314"/>
      <c r="G643" s="314"/>
      <c r="H643" s="101">
        <v>30</v>
      </c>
    </row>
    <row r="644" spans="1:8">
      <c r="A644" s="342"/>
      <c r="B644" s="100" t="s">
        <v>506</v>
      </c>
      <c r="C644" s="314" t="s">
        <v>710</v>
      </c>
      <c r="D644" s="314"/>
      <c r="E644" s="314"/>
      <c r="F644" s="314"/>
      <c r="G644" s="314"/>
      <c r="H644" s="101">
        <v>7.57</v>
      </c>
    </row>
    <row r="645" spans="1:8">
      <c r="A645" s="342"/>
      <c r="B645" s="100" t="s">
        <v>708</v>
      </c>
      <c r="C645" s="314" t="s">
        <v>710</v>
      </c>
      <c r="D645" s="314"/>
      <c r="E645" s="314"/>
      <c r="F645" s="314"/>
      <c r="G645" s="314"/>
      <c r="H645" s="101">
        <v>3.36</v>
      </c>
    </row>
    <row r="646" spans="1:8">
      <c r="A646" s="342"/>
      <c r="B646" s="100" t="s">
        <v>456</v>
      </c>
      <c r="C646" s="314" t="s">
        <v>710</v>
      </c>
      <c r="D646" s="314"/>
      <c r="E646" s="314"/>
      <c r="F646" s="314"/>
      <c r="G646" s="314"/>
      <c r="H646" s="101">
        <v>61.6</v>
      </c>
    </row>
    <row r="647" spans="1:8">
      <c r="A647" s="342"/>
      <c r="B647" s="100" t="s">
        <v>640</v>
      </c>
      <c r="C647" s="314" t="s">
        <v>710</v>
      </c>
      <c r="D647" s="314"/>
      <c r="E647" s="314"/>
      <c r="F647" s="314"/>
      <c r="G647" s="314"/>
      <c r="H647" s="101">
        <v>7.5</v>
      </c>
    </row>
    <row r="648" spans="1:8">
      <c r="A648" s="342"/>
      <c r="B648" s="100" t="s">
        <v>641</v>
      </c>
      <c r="C648" s="314" t="s">
        <v>710</v>
      </c>
      <c r="D648" s="314"/>
      <c r="E648" s="314"/>
      <c r="F648" s="314"/>
      <c r="G648" s="314"/>
      <c r="H648" s="101">
        <v>6</v>
      </c>
    </row>
    <row r="649" spans="1:8">
      <c r="A649" s="342"/>
      <c r="B649" s="100" t="s">
        <v>418</v>
      </c>
      <c r="C649" s="314" t="s">
        <v>710</v>
      </c>
      <c r="D649" s="314"/>
      <c r="E649" s="314"/>
      <c r="F649" s="314"/>
      <c r="G649" s="314"/>
      <c r="H649" s="101">
        <v>2.76</v>
      </c>
    </row>
    <row r="650" spans="1:8">
      <c r="A650" s="342"/>
      <c r="B650" s="100" t="s">
        <v>459</v>
      </c>
      <c r="C650" s="314" t="s">
        <v>710</v>
      </c>
      <c r="D650" s="314"/>
      <c r="E650" s="314"/>
      <c r="F650" s="314"/>
      <c r="G650" s="314"/>
      <c r="H650" s="101">
        <v>10.65</v>
      </c>
    </row>
    <row r="651" spans="1:8">
      <c r="A651" s="342"/>
      <c r="B651" s="100" t="s">
        <v>492</v>
      </c>
      <c r="C651" s="314" t="s">
        <v>710</v>
      </c>
      <c r="D651" s="314"/>
      <c r="E651" s="314"/>
      <c r="F651" s="314"/>
      <c r="G651" s="314"/>
      <c r="H651" s="95">
        <v>14.62</v>
      </c>
    </row>
    <row r="652" spans="1:8">
      <c r="A652" s="342"/>
      <c r="B652" s="100" t="s">
        <v>652</v>
      </c>
      <c r="C652" s="314" t="s">
        <v>710</v>
      </c>
      <c r="D652" s="314"/>
      <c r="E652" s="314"/>
      <c r="F652" s="314"/>
      <c r="G652" s="314"/>
      <c r="H652" s="95">
        <v>7.48</v>
      </c>
    </row>
    <row r="653" spans="1:8">
      <c r="A653" s="342"/>
      <c r="B653" s="100" t="s">
        <v>709</v>
      </c>
      <c r="C653" s="314" t="s">
        <v>710</v>
      </c>
      <c r="D653" s="314"/>
      <c r="E653" s="314"/>
      <c r="F653" s="314"/>
      <c r="G653" s="314"/>
      <c r="H653" s="95">
        <v>4.2300000000000004</v>
      </c>
    </row>
    <row r="654" spans="1:8">
      <c r="A654" s="342"/>
      <c r="B654" s="100" t="s">
        <v>653</v>
      </c>
      <c r="C654" s="314" t="s">
        <v>710</v>
      </c>
      <c r="D654" s="314"/>
      <c r="E654" s="314"/>
      <c r="F654" s="314"/>
      <c r="G654" s="314"/>
      <c r="H654" s="95">
        <v>16.09</v>
      </c>
    </row>
    <row r="655" spans="1:8">
      <c r="A655" s="342"/>
      <c r="B655" s="100" t="s">
        <v>654</v>
      </c>
      <c r="C655" s="314" t="s">
        <v>710</v>
      </c>
      <c r="D655" s="314"/>
      <c r="E655" s="314"/>
      <c r="F655" s="314"/>
      <c r="G655" s="314"/>
      <c r="H655" s="95">
        <v>3.35</v>
      </c>
    </row>
    <row r="656" spans="1:8">
      <c r="A656" s="342"/>
      <c r="B656" s="100" t="s">
        <v>655</v>
      </c>
      <c r="C656" s="314" t="s">
        <v>710</v>
      </c>
      <c r="D656" s="314"/>
      <c r="E656" s="314"/>
      <c r="F656" s="314"/>
      <c r="G656" s="314"/>
      <c r="H656" s="95">
        <v>10.55</v>
      </c>
    </row>
    <row r="657" spans="1:8">
      <c r="A657" s="342"/>
      <c r="B657" s="100" t="s">
        <v>462</v>
      </c>
      <c r="C657" s="314" t="s">
        <v>710</v>
      </c>
      <c r="D657" s="314"/>
      <c r="E657" s="314"/>
      <c r="F657" s="314"/>
      <c r="G657" s="314"/>
      <c r="H657" s="101">
        <f>92.79+25.53</f>
        <v>118.32000000000001</v>
      </c>
    </row>
    <row r="658" spans="1:8">
      <c r="A658" s="343"/>
      <c r="B658" s="87"/>
      <c r="C658" s="319" t="s">
        <v>177</v>
      </c>
      <c r="D658" s="319"/>
      <c r="E658" s="319"/>
      <c r="F658" s="319"/>
      <c r="G658" s="319"/>
      <c r="H658" s="96">
        <f>SUM(H632:H657)</f>
        <v>570.33000000000004</v>
      </c>
    </row>
    <row r="659" spans="1:8">
      <c r="A659" s="329" t="str">
        <f>'PLANILHA ORÇAMENTARIA'!A100</f>
        <v>11.6</v>
      </c>
      <c r="B659" s="92" t="str">
        <f>'PLANILHA ORÇAMENTARIA'!B100</f>
        <v>PIN-SEL-010</v>
      </c>
      <c r="C659" s="93" t="str">
        <f>'PLANILHA ORÇAMENTARIA'!C100</f>
        <v>SETOP</v>
      </c>
      <c r="D659" s="318" t="str">
        <f>'PLANILHA ORÇAMENTARIA'!D100</f>
        <v>Preparação para emassamento ou pintura (látex/acrílica) em teto, inclusive lixamento e uma (1) demão de selador acrílico</v>
      </c>
      <c r="E659" s="318"/>
      <c r="F659" s="318"/>
      <c r="G659" s="91" t="str">
        <f>'PLANILHA ORÇAMENTARIA'!E100</f>
        <v>m²</v>
      </c>
      <c r="H659" s="94">
        <f>H686</f>
        <v>570.33000000000004</v>
      </c>
    </row>
    <row r="660" spans="1:8">
      <c r="A660" s="330"/>
      <c r="B660" s="100" t="s">
        <v>431</v>
      </c>
      <c r="C660" s="314" t="s">
        <v>710</v>
      </c>
      <c r="D660" s="314"/>
      <c r="E660" s="314"/>
      <c r="F660" s="314"/>
      <c r="G660" s="314"/>
      <c r="H660" s="101">
        <v>44.1</v>
      </c>
    </row>
    <row r="661" spans="1:8">
      <c r="A661" s="330"/>
      <c r="B661" s="100" t="s">
        <v>411</v>
      </c>
      <c r="C661" s="314" t="s">
        <v>710</v>
      </c>
      <c r="D661" s="314"/>
      <c r="E661" s="314"/>
      <c r="F661" s="314"/>
      <c r="G661" s="314"/>
      <c r="H661" s="101">
        <v>36</v>
      </c>
    </row>
    <row r="662" spans="1:8">
      <c r="A662" s="330"/>
      <c r="B662" s="100" t="s">
        <v>432</v>
      </c>
      <c r="C662" s="314" t="s">
        <v>710</v>
      </c>
      <c r="D662" s="314"/>
      <c r="E662" s="314"/>
      <c r="F662" s="314"/>
      <c r="G662" s="314"/>
      <c r="H662" s="101">
        <v>39</v>
      </c>
    </row>
    <row r="663" spans="1:8">
      <c r="A663" s="330"/>
      <c r="B663" s="100" t="s">
        <v>413</v>
      </c>
      <c r="C663" s="314" t="s">
        <v>710</v>
      </c>
      <c r="D663" s="314"/>
      <c r="E663" s="314"/>
      <c r="F663" s="314"/>
      <c r="G663" s="314"/>
      <c r="H663" s="101">
        <v>39</v>
      </c>
    </row>
    <row r="664" spans="1:8">
      <c r="A664" s="330"/>
      <c r="B664" s="100" t="s">
        <v>449</v>
      </c>
      <c r="C664" s="314" t="s">
        <v>710</v>
      </c>
      <c r="D664" s="314"/>
      <c r="E664" s="314"/>
      <c r="F664" s="314"/>
      <c r="G664" s="314"/>
      <c r="H664" s="101">
        <v>18.600000000000001</v>
      </c>
    </row>
    <row r="665" spans="1:8">
      <c r="A665" s="330"/>
      <c r="B665" s="100" t="s">
        <v>450</v>
      </c>
      <c r="C665" s="314" t="s">
        <v>710</v>
      </c>
      <c r="D665" s="314"/>
      <c r="E665" s="314"/>
      <c r="F665" s="314"/>
      <c r="G665" s="314"/>
      <c r="H665" s="101">
        <v>14.67</v>
      </c>
    </row>
    <row r="666" spans="1:8">
      <c r="A666" s="330"/>
      <c r="B666" s="100" t="s">
        <v>451</v>
      </c>
      <c r="C666" s="314" t="s">
        <v>710</v>
      </c>
      <c r="D666" s="314"/>
      <c r="E666" s="314"/>
      <c r="F666" s="314"/>
      <c r="G666" s="314"/>
      <c r="H666" s="101">
        <v>3.34</v>
      </c>
    </row>
    <row r="667" spans="1:8">
      <c r="A667" s="330"/>
      <c r="B667" s="100" t="s">
        <v>426</v>
      </c>
      <c r="C667" s="314" t="s">
        <v>710</v>
      </c>
      <c r="D667" s="314"/>
      <c r="E667" s="314"/>
      <c r="F667" s="314"/>
      <c r="G667" s="314"/>
      <c r="H667" s="101">
        <v>23.8</v>
      </c>
    </row>
    <row r="668" spans="1:8">
      <c r="A668" s="330"/>
      <c r="B668" s="100" t="s">
        <v>435</v>
      </c>
      <c r="C668" s="314" t="s">
        <v>710</v>
      </c>
      <c r="D668" s="314"/>
      <c r="E668" s="314"/>
      <c r="F668" s="314"/>
      <c r="G668" s="314"/>
      <c r="H668" s="101">
        <v>11.89</v>
      </c>
    </row>
    <row r="669" spans="1:8">
      <c r="A669" s="330"/>
      <c r="B669" s="100" t="s">
        <v>452</v>
      </c>
      <c r="C669" s="314" t="s">
        <v>710</v>
      </c>
      <c r="D669" s="314"/>
      <c r="E669" s="314"/>
      <c r="F669" s="314"/>
      <c r="G669" s="314"/>
      <c r="H669" s="101">
        <v>4.79</v>
      </c>
    </row>
    <row r="670" spans="1:8">
      <c r="A670" s="330"/>
      <c r="B670" s="100" t="s">
        <v>453</v>
      </c>
      <c r="C670" s="314" t="s">
        <v>710</v>
      </c>
      <c r="D670" s="314"/>
      <c r="E670" s="314"/>
      <c r="F670" s="314"/>
      <c r="G670" s="314"/>
      <c r="H670" s="101">
        <v>31.06</v>
      </c>
    </row>
    <row r="671" spans="1:8">
      <c r="A671" s="330"/>
      <c r="B671" s="100" t="s">
        <v>396</v>
      </c>
      <c r="C671" s="314" t="s">
        <v>710</v>
      </c>
      <c r="D671" s="314"/>
      <c r="E671" s="314"/>
      <c r="F671" s="314"/>
      <c r="G671" s="314"/>
      <c r="H671" s="101">
        <v>30</v>
      </c>
    </row>
    <row r="672" spans="1:8">
      <c r="A672" s="330"/>
      <c r="B672" s="100" t="s">
        <v>506</v>
      </c>
      <c r="C672" s="314" t="s">
        <v>710</v>
      </c>
      <c r="D672" s="314"/>
      <c r="E672" s="314"/>
      <c r="F672" s="314"/>
      <c r="G672" s="314"/>
      <c r="H672" s="101">
        <v>7.57</v>
      </c>
    </row>
    <row r="673" spans="1:8">
      <c r="A673" s="330"/>
      <c r="B673" s="100" t="s">
        <v>708</v>
      </c>
      <c r="C673" s="314" t="s">
        <v>710</v>
      </c>
      <c r="D673" s="314"/>
      <c r="E673" s="314"/>
      <c r="F673" s="314"/>
      <c r="G673" s="314"/>
      <c r="H673" s="101">
        <v>3.36</v>
      </c>
    </row>
    <row r="674" spans="1:8">
      <c r="A674" s="330"/>
      <c r="B674" s="100" t="s">
        <v>456</v>
      </c>
      <c r="C674" s="314" t="s">
        <v>710</v>
      </c>
      <c r="D674" s="314"/>
      <c r="E674" s="314"/>
      <c r="F674" s="314"/>
      <c r="G674" s="314"/>
      <c r="H674" s="101">
        <v>61.6</v>
      </c>
    </row>
    <row r="675" spans="1:8">
      <c r="A675" s="330"/>
      <c r="B675" s="100" t="s">
        <v>640</v>
      </c>
      <c r="C675" s="314" t="s">
        <v>710</v>
      </c>
      <c r="D675" s="314"/>
      <c r="E675" s="314"/>
      <c r="F675" s="314"/>
      <c r="G675" s="314"/>
      <c r="H675" s="101">
        <v>7.5</v>
      </c>
    </row>
    <row r="676" spans="1:8">
      <c r="A676" s="330"/>
      <c r="B676" s="100" t="s">
        <v>641</v>
      </c>
      <c r="C676" s="314" t="s">
        <v>710</v>
      </c>
      <c r="D676" s="314"/>
      <c r="E676" s="314"/>
      <c r="F676" s="314"/>
      <c r="G676" s="314"/>
      <c r="H676" s="101">
        <v>6</v>
      </c>
    </row>
    <row r="677" spans="1:8">
      <c r="A677" s="330"/>
      <c r="B677" s="100" t="s">
        <v>418</v>
      </c>
      <c r="C677" s="314" t="s">
        <v>710</v>
      </c>
      <c r="D677" s="314"/>
      <c r="E677" s="314"/>
      <c r="F677" s="314"/>
      <c r="G677" s="314"/>
      <c r="H677" s="101">
        <v>2.76</v>
      </c>
    </row>
    <row r="678" spans="1:8">
      <c r="A678" s="330"/>
      <c r="B678" s="100" t="s">
        <v>459</v>
      </c>
      <c r="C678" s="314" t="s">
        <v>710</v>
      </c>
      <c r="D678" s="314"/>
      <c r="E678" s="314"/>
      <c r="F678" s="314"/>
      <c r="G678" s="314"/>
      <c r="H678" s="101">
        <v>10.65</v>
      </c>
    </row>
    <row r="679" spans="1:8">
      <c r="A679" s="330"/>
      <c r="B679" s="100" t="s">
        <v>492</v>
      </c>
      <c r="C679" s="314" t="s">
        <v>710</v>
      </c>
      <c r="D679" s="314"/>
      <c r="E679" s="314"/>
      <c r="F679" s="314"/>
      <c r="G679" s="314"/>
      <c r="H679" s="95">
        <v>14.62</v>
      </c>
    </row>
    <row r="680" spans="1:8">
      <c r="A680" s="330"/>
      <c r="B680" s="100" t="s">
        <v>652</v>
      </c>
      <c r="C680" s="314" t="s">
        <v>710</v>
      </c>
      <c r="D680" s="314"/>
      <c r="E680" s="314"/>
      <c r="F680" s="314"/>
      <c r="G680" s="314"/>
      <c r="H680" s="95">
        <v>7.48</v>
      </c>
    </row>
    <row r="681" spans="1:8">
      <c r="A681" s="330"/>
      <c r="B681" s="100" t="s">
        <v>709</v>
      </c>
      <c r="C681" s="314" t="s">
        <v>710</v>
      </c>
      <c r="D681" s="314"/>
      <c r="E681" s="314"/>
      <c r="F681" s="314"/>
      <c r="G681" s="314"/>
      <c r="H681" s="95">
        <v>4.2300000000000004</v>
      </c>
    </row>
    <row r="682" spans="1:8">
      <c r="A682" s="330"/>
      <c r="B682" s="100" t="s">
        <v>653</v>
      </c>
      <c r="C682" s="314" t="s">
        <v>710</v>
      </c>
      <c r="D682" s="314"/>
      <c r="E682" s="314"/>
      <c r="F682" s="314"/>
      <c r="G682" s="314"/>
      <c r="H682" s="95">
        <v>16.09</v>
      </c>
    </row>
    <row r="683" spans="1:8">
      <c r="A683" s="330"/>
      <c r="B683" s="100" t="s">
        <v>654</v>
      </c>
      <c r="C683" s="314" t="s">
        <v>710</v>
      </c>
      <c r="D683" s="314"/>
      <c r="E683" s="314"/>
      <c r="F683" s="314"/>
      <c r="G683" s="314"/>
      <c r="H683" s="95">
        <v>3.35</v>
      </c>
    </row>
    <row r="684" spans="1:8">
      <c r="A684" s="330"/>
      <c r="B684" s="100" t="s">
        <v>655</v>
      </c>
      <c r="C684" s="314" t="s">
        <v>710</v>
      </c>
      <c r="D684" s="314"/>
      <c r="E684" s="314"/>
      <c r="F684" s="314"/>
      <c r="G684" s="314"/>
      <c r="H684" s="95">
        <v>10.55</v>
      </c>
    </row>
    <row r="685" spans="1:8">
      <c r="A685" s="330"/>
      <c r="B685" s="100" t="s">
        <v>462</v>
      </c>
      <c r="C685" s="314" t="s">
        <v>710</v>
      </c>
      <c r="D685" s="314"/>
      <c r="E685" s="314"/>
      <c r="F685" s="314"/>
      <c r="G685" s="314"/>
      <c r="H685" s="101">
        <f>92.79+25.53</f>
        <v>118.32000000000001</v>
      </c>
    </row>
    <row r="686" spans="1:8">
      <c r="A686" s="331"/>
      <c r="B686" s="87"/>
      <c r="C686" s="319" t="s">
        <v>177</v>
      </c>
      <c r="D686" s="319"/>
      <c r="E686" s="319"/>
      <c r="F686" s="319"/>
      <c r="G686" s="319"/>
      <c r="H686" s="96">
        <f>SUM(H660:H685)</f>
        <v>570.33000000000004</v>
      </c>
    </row>
    <row r="687" spans="1:8">
      <c r="A687" s="341" t="str">
        <f>'PLANILHA ORÇAMENTARIA'!A101</f>
        <v>11.7</v>
      </c>
      <c r="B687" s="92" t="str">
        <f>'PLANILHA ORÇAMENTARIA'!B101</f>
        <v>PIN-ESM-005</v>
      </c>
      <c r="C687" s="93" t="str">
        <f>'PLANILHA ORÇAMENTARIA'!C101</f>
        <v>SETOP</v>
      </c>
      <c r="D687" s="318" t="str">
        <f>'PLANILHA ORÇAMENTARIA'!D101</f>
        <v>Pintura esmalte em esquadrias de ferro, duas (2) demãos, inclusive uma (1) demão de fundo anticorrosivo</v>
      </c>
      <c r="E687" s="318"/>
      <c r="F687" s="318"/>
      <c r="G687" s="91" t="str">
        <f>'PLANILHA ORÇAMENTARIA'!E101</f>
        <v>m²</v>
      </c>
      <c r="H687" s="94">
        <f>H725</f>
        <v>389.81000000000006</v>
      </c>
    </row>
    <row r="688" spans="1:8">
      <c r="A688" s="342"/>
      <c r="B688" s="100" t="s">
        <v>428</v>
      </c>
      <c r="C688" s="324" t="s">
        <v>714</v>
      </c>
      <c r="D688" s="324"/>
      <c r="E688" s="324"/>
      <c r="F688" s="324"/>
      <c r="G688" s="324"/>
      <c r="H688" s="95">
        <f>6*1.5*2</f>
        <v>18</v>
      </c>
    </row>
    <row r="689" spans="1:8">
      <c r="A689" s="342"/>
      <c r="B689" s="100" t="s">
        <v>430</v>
      </c>
      <c r="C689" s="324" t="s">
        <v>714</v>
      </c>
      <c r="D689" s="324"/>
      <c r="E689" s="324"/>
      <c r="F689" s="324"/>
      <c r="G689" s="324"/>
      <c r="H689" s="95">
        <f t="shared" ref="H689:H697" si="11">6*1.5*2</f>
        <v>18</v>
      </c>
    </row>
    <row r="690" spans="1:8">
      <c r="A690" s="342"/>
      <c r="B690" s="100" t="s">
        <v>431</v>
      </c>
      <c r="C690" s="324" t="s">
        <v>714</v>
      </c>
      <c r="D690" s="324"/>
      <c r="E690" s="324"/>
      <c r="F690" s="324"/>
      <c r="G690" s="324"/>
      <c r="H690" s="95">
        <f t="shared" si="11"/>
        <v>18</v>
      </c>
    </row>
    <row r="691" spans="1:8">
      <c r="A691" s="342"/>
      <c r="B691" s="100" t="s">
        <v>411</v>
      </c>
      <c r="C691" s="324" t="s">
        <v>715</v>
      </c>
      <c r="D691" s="324"/>
      <c r="E691" s="324"/>
      <c r="F691" s="324"/>
      <c r="G691" s="324"/>
      <c r="H691" s="95">
        <f>3*1.5*2</f>
        <v>9</v>
      </c>
    </row>
    <row r="692" spans="1:8">
      <c r="A692" s="342"/>
      <c r="B692" s="100" t="s">
        <v>411</v>
      </c>
      <c r="C692" s="324" t="s">
        <v>716</v>
      </c>
      <c r="D692" s="324"/>
      <c r="E692" s="324"/>
      <c r="F692" s="324"/>
      <c r="G692" s="324"/>
      <c r="H692" s="95">
        <f>0.8*2.1*2</f>
        <v>3.3600000000000003</v>
      </c>
    </row>
    <row r="693" spans="1:8">
      <c r="A693" s="342"/>
      <c r="B693" s="100" t="s">
        <v>414</v>
      </c>
      <c r="C693" s="324" t="s">
        <v>714</v>
      </c>
      <c r="D693" s="324"/>
      <c r="E693" s="324"/>
      <c r="F693" s="324"/>
      <c r="G693" s="324"/>
      <c r="H693" s="95">
        <f t="shared" si="11"/>
        <v>18</v>
      </c>
    </row>
    <row r="694" spans="1:8">
      <c r="A694" s="342"/>
      <c r="B694" s="100" t="s">
        <v>432</v>
      </c>
      <c r="C694" s="324" t="s">
        <v>714</v>
      </c>
      <c r="D694" s="324"/>
      <c r="E694" s="324"/>
      <c r="F694" s="324"/>
      <c r="G694" s="324"/>
      <c r="H694" s="95">
        <f t="shared" si="11"/>
        <v>18</v>
      </c>
    </row>
    <row r="695" spans="1:8">
      <c r="A695" s="342"/>
      <c r="B695" s="100" t="s">
        <v>413</v>
      </c>
      <c r="C695" s="324" t="s">
        <v>714</v>
      </c>
      <c r="D695" s="324"/>
      <c r="E695" s="324"/>
      <c r="F695" s="324"/>
      <c r="G695" s="324"/>
      <c r="H695" s="95">
        <f t="shared" si="11"/>
        <v>18</v>
      </c>
    </row>
    <row r="696" spans="1:8">
      <c r="A696" s="342"/>
      <c r="B696" s="100" t="s">
        <v>433</v>
      </c>
      <c r="C696" s="324" t="s">
        <v>714</v>
      </c>
      <c r="D696" s="324"/>
      <c r="E696" s="324"/>
      <c r="F696" s="324"/>
      <c r="G696" s="324"/>
      <c r="H696" s="95">
        <f t="shared" si="11"/>
        <v>18</v>
      </c>
    </row>
    <row r="697" spans="1:8">
      <c r="A697" s="342"/>
      <c r="B697" s="100" t="s">
        <v>429</v>
      </c>
      <c r="C697" s="324" t="s">
        <v>714</v>
      </c>
      <c r="D697" s="324"/>
      <c r="E697" s="324"/>
      <c r="F697" s="324"/>
      <c r="G697" s="324"/>
      <c r="H697" s="95">
        <f t="shared" si="11"/>
        <v>18</v>
      </c>
    </row>
    <row r="698" spans="1:8">
      <c r="A698" s="342"/>
      <c r="B698" s="100" t="s">
        <v>426</v>
      </c>
      <c r="C698" s="324" t="s">
        <v>715</v>
      </c>
      <c r="D698" s="324"/>
      <c r="E698" s="324"/>
      <c r="F698" s="324"/>
      <c r="G698" s="324"/>
      <c r="H698" s="95">
        <f>3*1.5*2</f>
        <v>9</v>
      </c>
    </row>
    <row r="699" spans="1:8">
      <c r="A699" s="342"/>
      <c r="B699" s="100" t="s">
        <v>461</v>
      </c>
      <c r="C699" s="324" t="s">
        <v>721</v>
      </c>
      <c r="D699" s="324"/>
      <c r="E699" s="324"/>
      <c r="F699" s="324"/>
      <c r="G699" s="324"/>
      <c r="H699" s="95">
        <f>(2.7+2.8)*1.5*2</f>
        <v>16.5</v>
      </c>
    </row>
    <row r="700" spans="1:8">
      <c r="A700" s="342"/>
      <c r="B700" s="100" t="s">
        <v>461</v>
      </c>
      <c r="C700" s="324" t="s">
        <v>722</v>
      </c>
      <c r="D700" s="324"/>
      <c r="E700" s="324"/>
      <c r="F700" s="324"/>
      <c r="G700" s="324"/>
      <c r="H700" s="95">
        <f>(1.6+0.8)*2.1*2</f>
        <v>10.080000000000002</v>
      </c>
    </row>
    <row r="701" spans="1:8">
      <c r="A701" s="342"/>
      <c r="B701" s="100" t="s">
        <v>396</v>
      </c>
      <c r="C701" s="324" t="s">
        <v>726</v>
      </c>
      <c r="D701" s="324"/>
      <c r="E701" s="324"/>
      <c r="F701" s="324"/>
      <c r="G701" s="324"/>
      <c r="H701" s="95">
        <f>3*1.2*2</f>
        <v>7.1999999999999993</v>
      </c>
    </row>
    <row r="702" spans="1:8">
      <c r="A702" s="342"/>
      <c r="B702" s="100" t="s">
        <v>396</v>
      </c>
      <c r="C702" s="324" t="s">
        <v>727</v>
      </c>
      <c r="D702" s="324"/>
      <c r="E702" s="324"/>
      <c r="F702" s="324"/>
      <c r="G702" s="324"/>
      <c r="H702" s="95">
        <f>1.7*1.45*2</f>
        <v>4.93</v>
      </c>
    </row>
    <row r="703" spans="1:8" ht="14.25" customHeight="1">
      <c r="A703" s="342"/>
      <c r="B703" s="100" t="s">
        <v>396</v>
      </c>
      <c r="C703" s="324" t="s">
        <v>720</v>
      </c>
      <c r="D703" s="324"/>
      <c r="E703" s="324"/>
      <c r="F703" s="324"/>
      <c r="G703" s="324"/>
      <c r="H703" s="95">
        <f>0.8*2.1*2</f>
        <v>3.3600000000000003</v>
      </c>
    </row>
    <row r="704" spans="1:8">
      <c r="A704" s="342"/>
      <c r="B704" s="100" t="s">
        <v>708</v>
      </c>
      <c r="C704" s="324" t="s">
        <v>728</v>
      </c>
      <c r="D704" s="324"/>
      <c r="E704" s="324"/>
      <c r="F704" s="324"/>
      <c r="G704" s="324"/>
      <c r="H704" s="95">
        <f>1*0.5*2</f>
        <v>1</v>
      </c>
    </row>
    <row r="705" spans="1:8">
      <c r="A705" s="342"/>
      <c r="B705" s="100" t="s">
        <v>506</v>
      </c>
      <c r="C705" s="324" t="s">
        <v>728</v>
      </c>
      <c r="D705" s="324"/>
      <c r="E705" s="324"/>
      <c r="F705" s="324"/>
      <c r="G705" s="324"/>
      <c r="H705" s="95">
        <f>1*0.5*2</f>
        <v>1</v>
      </c>
    </row>
    <row r="706" spans="1:8">
      <c r="A706" s="342"/>
      <c r="B706" s="100" t="s">
        <v>418</v>
      </c>
      <c r="C706" s="324" t="s">
        <v>729</v>
      </c>
      <c r="D706" s="324"/>
      <c r="E706" s="324"/>
      <c r="F706" s="324"/>
      <c r="G706" s="324"/>
      <c r="H706" s="95">
        <f>1.9*1*2</f>
        <v>3.8</v>
      </c>
    </row>
    <row r="707" spans="1:8">
      <c r="A707" s="342"/>
      <c r="B707" s="100" t="s">
        <v>434</v>
      </c>
      <c r="C707" s="324" t="s">
        <v>715</v>
      </c>
      <c r="D707" s="324"/>
      <c r="E707" s="324"/>
      <c r="F707" s="324"/>
      <c r="G707" s="324"/>
      <c r="H707" s="95">
        <f>3*1.5*2</f>
        <v>9</v>
      </c>
    </row>
    <row r="708" spans="1:8" ht="14.25" customHeight="1">
      <c r="A708" s="342"/>
      <c r="B708" s="100" t="s">
        <v>434</v>
      </c>
      <c r="C708" s="324" t="s">
        <v>716</v>
      </c>
      <c r="D708" s="324"/>
      <c r="E708" s="324"/>
      <c r="F708" s="324"/>
      <c r="G708" s="324"/>
      <c r="H708" s="95">
        <f>0.8*2.1*2</f>
        <v>3.3600000000000003</v>
      </c>
    </row>
    <row r="709" spans="1:8">
      <c r="A709" s="342"/>
      <c r="B709" s="100" t="s">
        <v>435</v>
      </c>
      <c r="C709" s="324" t="s">
        <v>715</v>
      </c>
      <c r="D709" s="324"/>
      <c r="E709" s="324"/>
      <c r="F709" s="324"/>
      <c r="G709" s="324"/>
      <c r="H709" s="95">
        <f>3*1.5*2</f>
        <v>9</v>
      </c>
    </row>
    <row r="710" spans="1:8">
      <c r="A710" s="342"/>
      <c r="B710" s="100" t="s">
        <v>456</v>
      </c>
      <c r="C710" s="324" t="s">
        <v>717</v>
      </c>
      <c r="D710" s="324"/>
      <c r="E710" s="324"/>
      <c r="F710" s="324"/>
      <c r="G710" s="324"/>
      <c r="H710" s="95">
        <f>3.6*1.5*2</f>
        <v>10.8</v>
      </c>
    </row>
    <row r="711" spans="1:8" ht="14.25" customHeight="1">
      <c r="A711" s="342"/>
      <c r="B711" s="100" t="s">
        <v>456</v>
      </c>
      <c r="C711" s="324" t="s">
        <v>720</v>
      </c>
      <c r="D711" s="324"/>
      <c r="E711" s="324"/>
      <c r="F711" s="324"/>
      <c r="G711" s="324"/>
      <c r="H711" s="95">
        <f>0.8*2.1*2</f>
        <v>3.3600000000000003</v>
      </c>
    </row>
    <row r="712" spans="1:8">
      <c r="A712" s="342"/>
      <c r="B712" s="100" t="s">
        <v>436</v>
      </c>
      <c r="C712" s="324" t="s">
        <v>718</v>
      </c>
      <c r="D712" s="324"/>
      <c r="E712" s="324"/>
      <c r="F712" s="324"/>
      <c r="G712" s="324"/>
      <c r="H712" s="95">
        <f>(2.4+1.9)*1.5*2</f>
        <v>12.899999999999999</v>
      </c>
    </row>
    <row r="713" spans="1:8">
      <c r="A713" s="342"/>
      <c r="B713" s="100" t="s">
        <v>437</v>
      </c>
      <c r="C713" s="324" t="s">
        <v>715</v>
      </c>
      <c r="D713" s="324"/>
      <c r="E713" s="324"/>
      <c r="F713" s="324"/>
      <c r="G713" s="324"/>
      <c r="H713" s="95">
        <f>3*1.5*2</f>
        <v>9</v>
      </c>
    </row>
    <row r="714" spans="1:8">
      <c r="A714" s="342"/>
      <c r="B714" s="100" t="s">
        <v>417</v>
      </c>
      <c r="C714" s="324" t="s">
        <v>719</v>
      </c>
      <c r="D714" s="324"/>
      <c r="E714" s="324"/>
      <c r="F714" s="324"/>
      <c r="G714" s="324"/>
      <c r="H714" s="95">
        <f>3.8*1.5*2</f>
        <v>11.399999999999999</v>
      </c>
    </row>
    <row r="715" spans="1:8" ht="14.25" customHeight="1">
      <c r="A715" s="342"/>
      <c r="B715" s="100" t="s">
        <v>417</v>
      </c>
      <c r="C715" s="324" t="s">
        <v>720</v>
      </c>
      <c r="D715" s="324"/>
      <c r="E715" s="324"/>
      <c r="F715" s="324"/>
      <c r="G715" s="324"/>
      <c r="H715" s="95">
        <f>0.8*2.1*2</f>
        <v>3.3600000000000003</v>
      </c>
    </row>
    <row r="716" spans="1:8" ht="14.25" customHeight="1">
      <c r="A716" s="342"/>
      <c r="B716" s="100" t="s">
        <v>640</v>
      </c>
      <c r="C716" s="324" t="s">
        <v>723</v>
      </c>
      <c r="D716" s="324"/>
      <c r="E716" s="324"/>
      <c r="F716" s="324"/>
      <c r="G716" s="324"/>
      <c r="H716" s="95">
        <f>1.4*0.5*2</f>
        <v>1.4</v>
      </c>
    </row>
    <row r="717" spans="1:8" ht="14.25" customHeight="1">
      <c r="A717" s="342"/>
      <c r="B717" s="100" t="s">
        <v>641</v>
      </c>
      <c r="C717" s="324" t="s">
        <v>724</v>
      </c>
      <c r="D717" s="324"/>
      <c r="E717" s="324"/>
      <c r="F717" s="324"/>
      <c r="G717" s="324"/>
      <c r="H717" s="95">
        <f>2*1.5*2</f>
        <v>6</v>
      </c>
    </row>
    <row r="718" spans="1:8" ht="14.25" customHeight="1">
      <c r="A718" s="342"/>
      <c r="B718" s="100" t="s">
        <v>730</v>
      </c>
      <c r="C718" s="324" t="s">
        <v>731</v>
      </c>
      <c r="D718" s="324"/>
      <c r="E718" s="324"/>
      <c r="F718" s="324"/>
      <c r="G718" s="324"/>
      <c r="H718" s="95">
        <f>10.5*1*2</f>
        <v>21</v>
      </c>
    </row>
    <row r="719" spans="1:8">
      <c r="A719" s="342"/>
      <c r="B719" s="100" t="s">
        <v>492</v>
      </c>
      <c r="C719" s="324" t="s">
        <v>724</v>
      </c>
      <c r="D719" s="324"/>
      <c r="E719" s="324"/>
      <c r="F719" s="324"/>
      <c r="G719" s="324"/>
      <c r="H719" s="95">
        <f>2*1.5*2</f>
        <v>6</v>
      </c>
    </row>
    <row r="720" spans="1:8">
      <c r="A720" s="342"/>
      <c r="B720" s="100" t="s">
        <v>652</v>
      </c>
      <c r="C720" s="324" t="s">
        <v>724</v>
      </c>
      <c r="D720" s="324"/>
      <c r="E720" s="324"/>
      <c r="F720" s="324"/>
      <c r="G720" s="324"/>
      <c r="H720" s="95">
        <f t="shared" ref="H720" si="12">2*1.5*2</f>
        <v>6</v>
      </c>
    </row>
    <row r="721" spans="1:8">
      <c r="A721" s="342"/>
      <c r="B721" s="100" t="s">
        <v>653</v>
      </c>
      <c r="C721" s="324" t="s">
        <v>732</v>
      </c>
      <c r="D721" s="324"/>
      <c r="E721" s="324"/>
      <c r="F721" s="324"/>
      <c r="G721" s="324"/>
      <c r="H721" s="95">
        <f>2*1.5*2*2</f>
        <v>12</v>
      </c>
    </row>
    <row r="722" spans="1:8">
      <c r="A722" s="342"/>
      <c r="B722" s="100" t="s">
        <v>462</v>
      </c>
      <c r="C722" s="324" t="s">
        <v>733</v>
      </c>
      <c r="D722" s="324"/>
      <c r="E722" s="324"/>
      <c r="F722" s="324"/>
      <c r="G722" s="324"/>
      <c r="H722" s="95">
        <f>2*2*2*2</f>
        <v>16</v>
      </c>
    </row>
    <row r="723" spans="1:8">
      <c r="A723" s="342"/>
      <c r="B723" s="100" t="s">
        <v>394</v>
      </c>
      <c r="C723" s="324" t="s">
        <v>725</v>
      </c>
      <c r="D723" s="324"/>
      <c r="E723" s="324"/>
      <c r="F723" s="324"/>
      <c r="G723" s="324"/>
      <c r="H723" s="95">
        <f>1.5*2*2</f>
        <v>6</v>
      </c>
    </row>
    <row r="724" spans="1:8">
      <c r="A724" s="342"/>
      <c r="B724" s="100" t="s">
        <v>734</v>
      </c>
      <c r="C724" s="324" t="s">
        <v>735</v>
      </c>
      <c r="D724" s="324"/>
      <c r="E724" s="324"/>
      <c r="F724" s="324"/>
      <c r="G724" s="324"/>
      <c r="H724" s="95">
        <f>6*2.5*2</f>
        <v>30</v>
      </c>
    </row>
    <row r="725" spans="1:8">
      <c r="A725" s="343"/>
      <c r="B725" s="87"/>
      <c r="C725" s="319" t="s">
        <v>177</v>
      </c>
      <c r="D725" s="319"/>
      <c r="E725" s="319"/>
      <c r="F725" s="319"/>
      <c r="G725" s="319"/>
      <c r="H725" s="96">
        <f>SUM(H688:H724)</f>
        <v>389.81000000000006</v>
      </c>
    </row>
    <row r="726" spans="1:8" ht="27.75" customHeight="1">
      <c r="A726" s="341" t="str">
        <f>'PLANILHA ORÇAMENTARIA'!A102</f>
        <v>11.8</v>
      </c>
      <c r="B726" s="92" t="str">
        <f>'PLANILHA ORÇAMENTARIA'!B102</f>
        <v>PIN-EMA-020</v>
      </c>
      <c r="C726" s="93" t="str">
        <f>'PLANILHA ORÇAMENTARIA'!C102</f>
        <v>SETOP</v>
      </c>
      <c r="D726" s="318" t="str">
        <f>'PLANILHA ORÇAMENTARIA'!D102</f>
        <v>Emassamento em esquadria de madeira com massa a óleo, duas (2) demãos, inclusive lixamento para pintura a óleo ou esmalte</v>
      </c>
      <c r="E726" s="318"/>
      <c r="F726" s="318"/>
      <c r="G726" s="91" t="str">
        <f>'PLANILHA ORÇAMENTARIA'!E102</f>
        <v>m²</v>
      </c>
      <c r="H726" s="94">
        <f>H761</f>
        <v>129.36000000000001</v>
      </c>
    </row>
    <row r="727" spans="1:8">
      <c r="A727" s="342"/>
      <c r="B727" s="100" t="s">
        <v>428</v>
      </c>
      <c r="C727" s="314" t="s">
        <v>711</v>
      </c>
      <c r="D727" s="314"/>
      <c r="E727" s="314"/>
      <c r="F727" s="314"/>
      <c r="G727" s="314"/>
      <c r="H727" s="101">
        <f>0.8*2.1*2</f>
        <v>3.3600000000000003</v>
      </c>
    </row>
    <row r="728" spans="1:8">
      <c r="A728" s="342"/>
      <c r="B728" s="100" t="s">
        <v>430</v>
      </c>
      <c r="C728" s="314" t="s">
        <v>711</v>
      </c>
      <c r="D728" s="314"/>
      <c r="E728" s="314"/>
      <c r="F728" s="314"/>
      <c r="G728" s="314"/>
      <c r="H728" s="101">
        <f t="shared" ref="H728:H760" si="13">0.8*2.1*2</f>
        <v>3.3600000000000003</v>
      </c>
    </row>
    <row r="729" spans="1:8">
      <c r="A729" s="342"/>
      <c r="B729" s="100" t="s">
        <v>431</v>
      </c>
      <c r="C729" s="314" t="s">
        <v>711</v>
      </c>
      <c r="D729" s="314"/>
      <c r="E729" s="314"/>
      <c r="F729" s="314"/>
      <c r="G729" s="314"/>
      <c r="H729" s="101">
        <f t="shared" si="13"/>
        <v>3.3600000000000003</v>
      </c>
    </row>
    <row r="730" spans="1:8">
      <c r="A730" s="342"/>
      <c r="B730" s="100" t="s">
        <v>411</v>
      </c>
      <c r="C730" s="314" t="s">
        <v>711</v>
      </c>
      <c r="D730" s="314"/>
      <c r="E730" s="314"/>
      <c r="F730" s="314"/>
      <c r="G730" s="314"/>
      <c r="H730" s="101">
        <f t="shared" si="13"/>
        <v>3.3600000000000003</v>
      </c>
    </row>
    <row r="731" spans="1:8">
      <c r="A731" s="342"/>
      <c r="B731" s="100" t="s">
        <v>414</v>
      </c>
      <c r="C731" s="314" t="s">
        <v>711</v>
      </c>
      <c r="D731" s="314"/>
      <c r="E731" s="314"/>
      <c r="F731" s="314"/>
      <c r="G731" s="314"/>
      <c r="H731" s="101">
        <f t="shared" si="13"/>
        <v>3.3600000000000003</v>
      </c>
    </row>
    <row r="732" spans="1:8">
      <c r="A732" s="342"/>
      <c r="B732" s="100" t="s">
        <v>432</v>
      </c>
      <c r="C732" s="314" t="s">
        <v>711</v>
      </c>
      <c r="D732" s="314"/>
      <c r="E732" s="314"/>
      <c r="F732" s="314"/>
      <c r="G732" s="314"/>
      <c r="H732" s="101">
        <f t="shared" si="13"/>
        <v>3.3600000000000003</v>
      </c>
    </row>
    <row r="733" spans="1:8">
      <c r="A733" s="342"/>
      <c r="B733" s="100" t="s">
        <v>413</v>
      </c>
      <c r="C733" s="314" t="s">
        <v>711</v>
      </c>
      <c r="D733" s="314"/>
      <c r="E733" s="314"/>
      <c r="F733" s="314"/>
      <c r="G733" s="314"/>
      <c r="H733" s="101">
        <f t="shared" si="13"/>
        <v>3.3600000000000003</v>
      </c>
    </row>
    <row r="734" spans="1:8">
      <c r="A734" s="342"/>
      <c r="B734" s="100" t="s">
        <v>433</v>
      </c>
      <c r="C734" s="314" t="s">
        <v>711</v>
      </c>
      <c r="D734" s="314"/>
      <c r="E734" s="314"/>
      <c r="F734" s="314"/>
      <c r="G734" s="314"/>
      <c r="H734" s="101">
        <f t="shared" si="13"/>
        <v>3.3600000000000003</v>
      </c>
    </row>
    <row r="735" spans="1:8">
      <c r="A735" s="342"/>
      <c r="B735" s="100" t="s">
        <v>429</v>
      </c>
      <c r="C735" s="314" t="s">
        <v>711</v>
      </c>
      <c r="D735" s="314"/>
      <c r="E735" s="314"/>
      <c r="F735" s="314"/>
      <c r="G735" s="314"/>
      <c r="H735" s="101">
        <f t="shared" si="13"/>
        <v>3.3600000000000003</v>
      </c>
    </row>
    <row r="736" spans="1:8">
      <c r="A736" s="342"/>
      <c r="B736" s="100" t="s">
        <v>449</v>
      </c>
      <c r="C736" s="314" t="s">
        <v>711</v>
      </c>
      <c r="D736" s="314"/>
      <c r="E736" s="314"/>
      <c r="F736" s="314"/>
      <c r="G736" s="314"/>
      <c r="H736" s="101">
        <f t="shared" si="13"/>
        <v>3.3600000000000003</v>
      </c>
    </row>
    <row r="737" spans="1:8">
      <c r="A737" s="342"/>
      <c r="B737" s="100" t="s">
        <v>450</v>
      </c>
      <c r="C737" s="314" t="s">
        <v>711</v>
      </c>
      <c r="D737" s="314"/>
      <c r="E737" s="314"/>
      <c r="F737" s="314"/>
      <c r="G737" s="314"/>
      <c r="H737" s="101">
        <f t="shared" si="13"/>
        <v>3.3600000000000003</v>
      </c>
    </row>
    <row r="738" spans="1:8">
      <c r="A738" s="342"/>
      <c r="B738" s="100" t="s">
        <v>451</v>
      </c>
      <c r="C738" s="314" t="s">
        <v>712</v>
      </c>
      <c r="D738" s="314"/>
      <c r="E738" s="314"/>
      <c r="F738" s="314"/>
      <c r="G738" s="314"/>
      <c r="H738" s="101">
        <f>1*2.1*2</f>
        <v>4.2</v>
      </c>
    </row>
    <row r="739" spans="1:8">
      <c r="A739" s="342"/>
      <c r="B739" s="100" t="s">
        <v>426</v>
      </c>
      <c r="C739" s="314" t="s">
        <v>711</v>
      </c>
      <c r="D739" s="314"/>
      <c r="E739" s="314"/>
      <c r="F739" s="314"/>
      <c r="G739" s="314"/>
      <c r="H739" s="101">
        <f t="shared" si="13"/>
        <v>3.3600000000000003</v>
      </c>
    </row>
    <row r="740" spans="1:8">
      <c r="A740" s="342"/>
      <c r="B740" s="100" t="s">
        <v>434</v>
      </c>
      <c r="C740" s="314" t="s">
        <v>712</v>
      </c>
      <c r="D740" s="314"/>
      <c r="E740" s="314"/>
      <c r="F740" s="314"/>
      <c r="G740" s="314"/>
      <c r="H740" s="101">
        <f>1*2.1*2</f>
        <v>4.2</v>
      </c>
    </row>
    <row r="741" spans="1:8">
      <c r="A741" s="342"/>
      <c r="B741" s="100" t="s">
        <v>435</v>
      </c>
      <c r="C741" s="314" t="s">
        <v>713</v>
      </c>
      <c r="D741" s="314"/>
      <c r="E741" s="314"/>
      <c r="F741" s="314"/>
      <c r="G741" s="314"/>
      <c r="H741" s="101">
        <f>0.8*2.1*2*2</f>
        <v>6.7200000000000006</v>
      </c>
    </row>
    <row r="742" spans="1:8">
      <c r="A742" s="342"/>
      <c r="B742" s="100" t="s">
        <v>452</v>
      </c>
      <c r="C742" s="314" t="s">
        <v>711</v>
      </c>
      <c r="D742" s="314"/>
      <c r="E742" s="314"/>
      <c r="F742" s="314"/>
      <c r="G742" s="314"/>
      <c r="H742" s="101">
        <f t="shared" si="13"/>
        <v>3.3600000000000003</v>
      </c>
    </row>
    <row r="743" spans="1:8">
      <c r="A743" s="342"/>
      <c r="B743" s="100" t="s">
        <v>453</v>
      </c>
      <c r="C743" s="314" t="s">
        <v>713</v>
      </c>
      <c r="D743" s="314"/>
      <c r="E743" s="314"/>
      <c r="F743" s="314"/>
      <c r="G743" s="314"/>
      <c r="H743" s="101">
        <f>0.8*2.1*2*2</f>
        <v>6.7200000000000006</v>
      </c>
    </row>
    <row r="744" spans="1:8">
      <c r="A744" s="342"/>
      <c r="B744" s="100" t="s">
        <v>396</v>
      </c>
      <c r="C744" s="314" t="s">
        <v>711</v>
      </c>
      <c r="D744" s="314"/>
      <c r="E744" s="314"/>
      <c r="F744" s="314"/>
      <c r="G744" s="314"/>
      <c r="H744" s="101">
        <f t="shared" si="13"/>
        <v>3.3600000000000003</v>
      </c>
    </row>
    <row r="745" spans="1:8">
      <c r="A745" s="342"/>
      <c r="B745" s="100" t="s">
        <v>506</v>
      </c>
      <c r="C745" s="314" t="s">
        <v>711</v>
      </c>
      <c r="D745" s="314"/>
      <c r="E745" s="314"/>
      <c r="F745" s="314"/>
      <c r="G745" s="314"/>
      <c r="H745" s="101">
        <f t="shared" si="13"/>
        <v>3.3600000000000003</v>
      </c>
    </row>
    <row r="746" spans="1:8">
      <c r="A746" s="342"/>
      <c r="B746" s="100" t="s">
        <v>708</v>
      </c>
      <c r="C746" s="314" t="s">
        <v>711</v>
      </c>
      <c r="D746" s="314"/>
      <c r="E746" s="314"/>
      <c r="F746" s="314"/>
      <c r="G746" s="314"/>
      <c r="H746" s="101">
        <f t="shared" si="13"/>
        <v>3.3600000000000003</v>
      </c>
    </row>
    <row r="747" spans="1:8">
      <c r="A747" s="342"/>
      <c r="B747" s="100" t="s">
        <v>439</v>
      </c>
      <c r="C747" s="314" t="s">
        <v>711</v>
      </c>
      <c r="D747" s="314"/>
      <c r="E747" s="314"/>
      <c r="F747" s="314"/>
      <c r="G747" s="314"/>
      <c r="H747" s="101">
        <f t="shared" si="13"/>
        <v>3.3600000000000003</v>
      </c>
    </row>
    <row r="748" spans="1:8">
      <c r="A748" s="342"/>
      <c r="B748" s="100" t="s">
        <v>455</v>
      </c>
      <c r="C748" s="314" t="s">
        <v>711</v>
      </c>
      <c r="D748" s="314"/>
      <c r="E748" s="314"/>
      <c r="F748" s="314"/>
      <c r="G748" s="314"/>
      <c r="H748" s="101">
        <f t="shared" si="13"/>
        <v>3.3600000000000003</v>
      </c>
    </row>
    <row r="749" spans="1:8">
      <c r="A749" s="342"/>
      <c r="B749" s="100" t="s">
        <v>441</v>
      </c>
      <c r="C749" s="314" t="s">
        <v>711</v>
      </c>
      <c r="D749" s="314"/>
      <c r="E749" s="314"/>
      <c r="F749" s="314"/>
      <c r="G749" s="314"/>
      <c r="H749" s="101">
        <f t="shared" si="13"/>
        <v>3.3600000000000003</v>
      </c>
    </row>
    <row r="750" spans="1:8">
      <c r="A750" s="342"/>
      <c r="B750" s="100" t="s">
        <v>436</v>
      </c>
      <c r="C750" s="314" t="s">
        <v>711</v>
      </c>
      <c r="D750" s="314"/>
      <c r="E750" s="314"/>
      <c r="F750" s="314"/>
      <c r="G750" s="314"/>
      <c r="H750" s="101">
        <f t="shared" si="13"/>
        <v>3.3600000000000003</v>
      </c>
    </row>
    <row r="751" spans="1:8">
      <c r="A751" s="342"/>
      <c r="B751" s="100" t="s">
        <v>437</v>
      </c>
      <c r="C751" s="314" t="s">
        <v>713</v>
      </c>
      <c r="D751" s="314"/>
      <c r="E751" s="314"/>
      <c r="F751" s="314"/>
      <c r="G751" s="314"/>
      <c r="H751" s="101">
        <f>0.8*2.1*2*2</f>
        <v>6.7200000000000006</v>
      </c>
    </row>
    <row r="752" spans="1:8">
      <c r="A752" s="342"/>
      <c r="B752" s="100" t="s">
        <v>417</v>
      </c>
      <c r="C752" s="314" t="s">
        <v>713</v>
      </c>
      <c r="D752" s="314"/>
      <c r="E752" s="314"/>
      <c r="F752" s="314"/>
      <c r="G752" s="314"/>
      <c r="H752" s="101">
        <f>0.8*2.1*2*2</f>
        <v>6.7200000000000006</v>
      </c>
    </row>
    <row r="753" spans="1:8">
      <c r="A753" s="342"/>
      <c r="B753" s="100" t="s">
        <v>640</v>
      </c>
      <c r="C753" s="314" t="s">
        <v>711</v>
      </c>
      <c r="D753" s="314"/>
      <c r="E753" s="314"/>
      <c r="F753" s="314"/>
      <c r="G753" s="314"/>
      <c r="H753" s="101">
        <f t="shared" si="13"/>
        <v>3.3600000000000003</v>
      </c>
    </row>
    <row r="754" spans="1:8">
      <c r="A754" s="342"/>
      <c r="B754" s="100" t="s">
        <v>641</v>
      </c>
      <c r="C754" s="314" t="s">
        <v>711</v>
      </c>
      <c r="D754" s="314"/>
      <c r="E754" s="314"/>
      <c r="F754" s="314"/>
      <c r="G754" s="314"/>
      <c r="H754" s="101">
        <f t="shared" si="13"/>
        <v>3.3600000000000003</v>
      </c>
    </row>
    <row r="755" spans="1:8">
      <c r="A755" s="342"/>
      <c r="B755" s="100" t="s">
        <v>459</v>
      </c>
      <c r="C755" s="314" t="s">
        <v>711</v>
      </c>
      <c r="D755" s="314"/>
      <c r="E755" s="314"/>
      <c r="F755" s="314"/>
      <c r="G755" s="314"/>
      <c r="H755" s="101">
        <f t="shared" si="13"/>
        <v>3.3600000000000003</v>
      </c>
    </row>
    <row r="756" spans="1:8">
      <c r="A756" s="342"/>
      <c r="B756" s="100" t="s">
        <v>492</v>
      </c>
      <c r="C756" s="314" t="s">
        <v>711</v>
      </c>
      <c r="D756" s="314"/>
      <c r="E756" s="314"/>
      <c r="F756" s="314"/>
      <c r="G756" s="314"/>
      <c r="H756" s="101">
        <f t="shared" si="13"/>
        <v>3.3600000000000003</v>
      </c>
    </row>
    <row r="757" spans="1:8">
      <c r="A757" s="342"/>
      <c r="B757" s="100" t="s">
        <v>652</v>
      </c>
      <c r="C757" s="314" t="s">
        <v>711</v>
      </c>
      <c r="D757" s="314"/>
      <c r="E757" s="314"/>
      <c r="F757" s="314"/>
      <c r="G757" s="314"/>
      <c r="H757" s="101">
        <f t="shared" si="13"/>
        <v>3.3600000000000003</v>
      </c>
    </row>
    <row r="758" spans="1:8">
      <c r="A758" s="342"/>
      <c r="B758" s="100" t="s">
        <v>709</v>
      </c>
      <c r="C758" s="314" t="s">
        <v>711</v>
      </c>
      <c r="D758" s="314"/>
      <c r="E758" s="314"/>
      <c r="F758" s="314"/>
      <c r="G758" s="314"/>
      <c r="H758" s="101">
        <f t="shared" si="13"/>
        <v>3.3600000000000003</v>
      </c>
    </row>
    <row r="759" spans="1:8">
      <c r="A759" s="342"/>
      <c r="B759" s="100" t="s">
        <v>653</v>
      </c>
      <c r="C759" s="314" t="s">
        <v>711</v>
      </c>
      <c r="D759" s="314"/>
      <c r="E759" s="314"/>
      <c r="F759" s="314"/>
      <c r="G759" s="314"/>
      <c r="H759" s="101">
        <f t="shared" si="13"/>
        <v>3.3600000000000003</v>
      </c>
    </row>
    <row r="760" spans="1:8">
      <c r="A760" s="342"/>
      <c r="B760" s="100" t="s">
        <v>655</v>
      </c>
      <c r="C760" s="314" t="s">
        <v>711</v>
      </c>
      <c r="D760" s="314"/>
      <c r="E760" s="314"/>
      <c r="F760" s="314"/>
      <c r="G760" s="314"/>
      <c r="H760" s="101">
        <f t="shared" si="13"/>
        <v>3.3600000000000003</v>
      </c>
    </row>
    <row r="761" spans="1:8">
      <c r="A761" s="343"/>
      <c r="B761" s="87"/>
      <c r="C761" s="319" t="s">
        <v>177</v>
      </c>
      <c r="D761" s="319"/>
      <c r="E761" s="319"/>
      <c r="F761" s="319"/>
      <c r="G761" s="319"/>
      <c r="H761" s="96">
        <f>SUM(H727:H760)</f>
        <v>129.36000000000001</v>
      </c>
    </row>
    <row r="762" spans="1:8">
      <c r="A762" s="341" t="str">
        <f>'PLANILHA ORÇAMENTARIA'!A103</f>
        <v>11.9</v>
      </c>
      <c r="B762" s="92" t="str">
        <f>'PLANILHA ORÇAMENTARIA'!B103</f>
        <v xml:space="preserve">74065/002 </v>
      </c>
      <c r="C762" s="93" t="str">
        <f>'PLANILHA ORÇAMENTARIA'!C103</f>
        <v>SINAPI</v>
      </c>
      <c r="D762" s="318" t="str">
        <f>'PLANILHA ORÇAMENTARIA'!D103</f>
        <v>Pintura esmalte acetinado para madeira, duas demãos, sobre fundo nivelador branco em esquadrias de madeira</v>
      </c>
      <c r="E762" s="318"/>
      <c r="F762" s="318"/>
      <c r="G762" s="91" t="str">
        <f>'PLANILHA ORÇAMENTARIA'!E103</f>
        <v>m²</v>
      </c>
      <c r="H762" s="94">
        <f>H797</f>
        <v>129.36000000000001</v>
      </c>
    </row>
    <row r="763" spans="1:8">
      <c r="A763" s="342"/>
      <c r="B763" s="100" t="s">
        <v>428</v>
      </c>
      <c r="C763" s="314" t="s">
        <v>711</v>
      </c>
      <c r="D763" s="314"/>
      <c r="E763" s="314"/>
      <c r="F763" s="314"/>
      <c r="G763" s="314"/>
      <c r="H763" s="101">
        <f>0.8*2.1*2</f>
        <v>3.3600000000000003</v>
      </c>
    </row>
    <row r="764" spans="1:8">
      <c r="A764" s="342"/>
      <c r="B764" s="100" t="s">
        <v>430</v>
      </c>
      <c r="C764" s="314" t="s">
        <v>711</v>
      </c>
      <c r="D764" s="314"/>
      <c r="E764" s="314"/>
      <c r="F764" s="314"/>
      <c r="G764" s="314"/>
      <c r="H764" s="101">
        <f t="shared" ref="H764:H796" si="14">0.8*2.1*2</f>
        <v>3.3600000000000003</v>
      </c>
    </row>
    <row r="765" spans="1:8">
      <c r="A765" s="342"/>
      <c r="B765" s="100" t="s">
        <v>431</v>
      </c>
      <c r="C765" s="314" t="s">
        <v>711</v>
      </c>
      <c r="D765" s="314"/>
      <c r="E765" s="314"/>
      <c r="F765" s="314"/>
      <c r="G765" s="314"/>
      <c r="H765" s="101">
        <f t="shared" si="14"/>
        <v>3.3600000000000003</v>
      </c>
    </row>
    <row r="766" spans="1:8">
      <c r="A766" s="342"/>
      <c r="B766" s="100" t="s">
        <v>411</v>
      </c>
      <c r="C766" s="314" t="s">
        <v>711</v>
      </c>
      <c r="D766" s="314"/>
      <c r="E766" s="314"/>
      <c r="F766" s="314"/>
      <c r="G766" s="314"/>
      <c r="H766" s="101">
        <f t="shared" si="14"/>
        <v>3.3600000000000003</v>
      </c>
    </row>
    <row r="767" spans="1:8">
      <c r="A767" s="342"/>
      <c r="B767" s="100" t="s">
        <v>414</v>
      </c>
      <c r="C767" s="314" t="s">
        <v>711</v>
      </c>
      <c r="D767" s="314"/>
      <c r="E767" s="314"/>
      <c r="F767" s="314"/>
      <c r="G767" s="314"/>
      <c r="H767" s="101">
        <f t="shared" si="14"/>
        <v>3.3600000000000003</v>
      </c>
    </row>
    <row r="768" spans="1:8">
      <c r="A768" s="342"/>
      <c r="B768" s="100" t="s">
        <v>432</v>
      </c>
      <c r="C768" s="314" t="s">
        <v>711</v>
      </c>
      <c r="D768" s="314"/>
      <c r="E768" s="314"/>
      <c r="F768" s="314"/>
      <c r="G768" s="314"/>
      <c r="H768" s="101">
        <f t="shared" si="14"/>
        <v>3.3600000000000003</v>
      </c>
    </row>
    <row r="769" spans="1:8">
      <c r="A769" s="342"/>
      <c r="B769" s="100" t="s">
        <v>413</v>
      </c>
      <c r="C769" s="314" t="s">
        <v>711</v>
      </c>
      <c r="D769" s="314"/>
      <c r="E769" s="314"/>
      <c r="F769" s="314"/>
      <c r="G769" s="314"/>
      <c r="H769" s="101">
        <f t="shared" si="14"/>
        <v>3.3600000000000003</v>
      </c>
    </row>
    <row r="770" spans="1:8">
      <c r="A770" s="342"/>
      <c r="B770" s="100" t="s">
        <v>433</v>
      </c>
      <c r="C770" s="314" t="s">
        <v>711</v>
      </c>
      <c r="D770" s="314"/>
      <c r="E770" s="314"/>
      <c r="F770" s="314"/>
      <c r="G770" s="314"/>
      <c r="H770" s="101">
        <f t="shared" si="14"/>
        <v>3.3600000000000003</v>
      </c>
    </row>
    <row r="771" spans="1:8">
      <c r="A771" s="342"/>
      <c r="B771" s="100" t="s">
        <v>429</v>
      </c>
      <c r="C771" s="314" t="s">
        <v>711</v>
      </c>
      <c r="D771" s="314"/>
      <c r="E771" s="314"/>
      <c r="F771" s="314"/>
      <c r="G771" s="314"/>
      <c r="H771" s="101">
        <f t="shared" si="14"/>
        <v>3.3600000000000003</v>
      </c>
    </row>
    <row r="772" spans="1:8">
      <c r="A772" s="342"/>
      <c r="B772" s="100" t="s">
        <v>449</v>
      </c>
      <c r="C772" s="314" t="s">
        <v>711</v>
      </c>
      <c r="D772" s="314"/>
      <c r="E772" s="314"/>
      <c r="F772" s="314"/>
      <c r="G772" s="314"/>
      <c r="H772" s="101">
        <f t="shared" si="14"/>
        <v>3.3600000000000003</v>
      </c>
    </row>
    <row r="773" spans="1:8">
      <c r="A773" s="342"/>
      <c r="B773" s="100" t="s">
        <v>450</v>
      </c>
      <c r="C773" s="314" t="s">
        <v>711</v>
      </c>
      <c r="D773" s="314"/>
      <c r="E773" s="314"/>
      <c r="F773" s="314"/>
      <c r="G773" s="314"/>
      <c r="H773" s="101">
        <f t="shared" si="14"/>
        <v>3.3600000000000003</v>
      </c>
    </row>
    <row r="774" spans="1:8">
      <c r="A774" s="342"/>
      <c r="B774" s="100" t="s">
        <v>451</v>
      </c>
      <c r="C774" s="314" t="s">
        <v>712</v>
      </c>
      <c r="D774" s="314"/>
      <c r="E774" s="314"/>
      <c r="F774" s="314"/>
      <c r="G774" s="314"/>
      <c r="H774" s="101">
        <f>1*2.1*2</f>
        <v>4.2</v>
      </c>
    </row>
    <row r="775" spans="1:8">
      <c r="A775" s="342"/>
      <c r="B775" s="100" t="s">
        <v>426</v>
      </c>
      <c r="C775" s="314" t="s">
        <v>711</v>
      </c>
      <c r="D775" s="314"/>
      <c r="E775" s="314"/>
      <c r="F775" s="314"/>
      <c r="G775" s="314"/>
      <c r="H775" s="101">
        <f t="shared" si="14"/>
        <v>3.3600000000000003</v>
      </c>
    </row>
    <row r="776" spans="1:8">
      <c r="A776" s="342"/>
      <c r="B776" s="100" t="s">
        <v>434</v>
      </c>
      <c r="C776" s="314" t="s">
        <v>712</v>
      </c>
      <c r="D776" s="314"/>
      <c r="E776" s="314"/>
      <c r="F776" s="314"/>
      <c r="G776" s="314"/>
      <c r="H776" s="101">
        <f>1*2.1*2</f>
        <v>4.2</v>
      </c>
    </row>
    <row r="777" spans="1:8">
      <c r="A777" s="342"/>
      <c r="B777" s="100" t="s">
        <v>435</v>
      </c>
      <c r="C777" s="314" t="s">
        <v>713</v>
      </c>
      <c r="D777" s="314"/>
      <c r="E777" s="314"/>
      <c r="F777" s="314"/>
      <c r="G777" s="314"/>
      <c r="H777" s="101">
        <f>0.8*2.1*2*2</f>
        <v>6.7200000000000006</v>
      </c>
    </row>
    <row r="778" spans="1:8">
      <c r="A778" s="342"/>
      <c r="B778" s="100" t="s">
        <v>452</v>
      </c>
      <c r="C778" s="314" t="s">
        <v>711</v>
      </c>
      <c r="D778" s="314"/>
      <c r="E778" s="314"/>
      <c r="F778" s="314"/>
      <c r="G778" s="314"/>
      <c r="H778" s="101">
        <f t="shared" si="14"/>
        <v>3.3600000000000003</v>
      </c>
    </row>
    <row r="779" spans="1:8">
      <c r="A779" s="342"/>
      <c r="B779" s="100" t="s">
        <v>453</v>
      </c>
      <c r="C779" s="314" t="s">
        <v>713</v>
      </c>
      <c r="D779" s="314"/>
      <c r="E779" s="314"/>
      <c r="F779" s="314"/>
      <c r="G779" s="314"/>
      <c r="H779" s="101">
        <f>0.8*2.1*2*2</f>
        <v>6.7200000000000006</v>
      </c>
    </row>
    <row r="780" spans="1:8">
      <c r="A780" s="342"/>
      <c r="B780" s="100" t="s">
        <v>396</v>
      </c>
      <c r="C780" s="314" t="s">
        <v>711</v>
      </c>
      <c r="D780" s="314"/>
      <c r="E780" s="314"/>
      <c r="F780" s="314"/>
      <c r="G780" s="314"/>
      <c r="H780" s="101">
        <f t="shared" si="14"/>
        <v>3.3600000000000003</v>
      </c>
    </row>
    <row r="781" spans="1:8">
      <c r="A781" s="342"/>
      <c r="B781" s="100" t="s">
        <v>506</v>
      </c>
      <c r="C781" s="314" t="s">
        <v>711</v>
      </c>
      <c r="D781" s="314"/>
      <c r="E781" s="314"/>
      <c r="F781" s="314"/>
      <c r="G781" s="314"/>
      <c r="H781" s="101">
        <f t="shared" si="14"/>
        <v>3.3600000000000003</v>
      </c>
    </row>
    <row r="782" spans="1:8">
      <c r="A782" s="342"/>
      <c r="B782" s="100" t="s">
        <v>708</v>
      </c>
      <c r="C782" s="314" t="s">
        <v>711</v>
      </c>
      <c r="D782" s="314"/>
      <c r="E782" s="314"/>
      <c r="F782" s="314"/>
      <c r="G782" s="314"/>
      <c r="H782" s="101">
        <f t="shared" si="14"/>
        <v>3.3600000000000003</v>
      </c>
    </row>
    <row r="783" spans="1:8">
      <c r="A783" s="342"/>
      <c r="B783" s="100" t="s">
        <v>439</v>
      </c>
      <c r="C783" s="314" t="s">
        <v>711</v>
      </c>
      <c r="D783" s="314"/>
      <c r="E783" s="314"/>
      <c r="F783" s="314"/>
      <c r="G783" s="314"/>
      <c r="H783" s="101">
        <f t="shared" si="14"/>
        <v>3.3600000000000003</v>
      </c>
    </row>
    <row r="784" spans="1:8">
      <c r="A784" s="342"/>
      <c r="B784" s="100" t="s">
        <v>455</v>
      </c>
      <c r="C784" s="314" t="s">
        <v>711</v>
      </c>
      <c r="D784" s="314"/>
      <c r="E784" s="314"/>
      <c r="F784" s="314"/>
      <c r="G784" s="314"/>
      <c r="H784" s="101">
        <f t="shared" si="14"/>
        <v>3.3600000000000003</v>
      </c>
    </row>
    <row r="785" spans="1:8">
      <c r="A785" s="342"/>
      <c r="B785" s="100" t="s">
        <v>441</v>
      </c>
      <c r="C785" s="314" t="s">
        <v>711</v>
      </c>
      <c r="D785" s="314"/>
      <c r="E785" s="314"/>
      <c r="F785" s="314"/>
      <c r="G785" s="314"/>
      <c r="H785" s="101">
        <f t="shared" si="14"/>
        <v>3.3600000000000003</v>
      </c>
    </row>
    <row r="786" spans="1:8">
      <c r="A786" s="342"/>
      <c r="B786" s="100" t="s">
        <v>436</v>
      </c>
      <c r="C786" s="314" t="s">
        <v>711</v>
      </c>
      <c r="D786" s="314"/>
      <c r="E786" s="314"/>
      <c r="F786" s="314"/>
      <c r="G786" s="314"/>
      <c r="H786" s="101">
        <f t="shared" si="14"/>
        <v>3.3600000000000003</v>
      </c>
    </row>
    <row r="787" spans="1:8">
      <c r="A787" s="342"/>
      <c r="B787" s="100" t="s">
        <v>437</v>
      </c>
      <c r="C787" s="314" t="s">
        <v>713</v>
      </c>
      <c r="D787" s="314"/>
      <c r="E787" s="314"/>
      <c r="F787" s="314"/>
      <c r="G787" s="314"/>
      <c r="H787" s="101">
        <f>0.8*2.1*2*2</f>
        <v>6.7200000000000006</v>
      </c>
    </row>
    <row r="788" spans="1:8">
      <c r="A788" s="342"/>
      <c r="B788" s="100" t="s">
        <v>417</v>
      </c>
      <c r="C788" s="314" t="s">
        <v>713</v>
      </c>
      <c r="D788" s="314"/>
      <c r="E788" s="314"/>
      <c r="F788" s="314"/>
      <c r="G788" s="314"/>
      <c r="H788" s="101">
        <f>0.8*2.1*2*2</f>
        <v>6.7200000000000006</v>
      </c>
    </row>
    <row r="789" spans="1:8">
      <c r="A789" s="342"/>
      <c r="B789" s="100" t="s">
        <v>640</v>
      </c>
      <c r="C789" s="314" t="s">
        <v>711</v>
      </c>
      <c r="D789" s="314"/>
      <c r="E789" s="314"/>
      <c r="F789" s="314"/>
      <c r="G789" s="314"/>
      <c r="H789" s="101">
        <f t="shared" si="14"/>
        <v>3.3600000000000003</v>
      </c>
    </row>
    <row r="790" spans="1:8">
      <c r="A790" s="342"/>
      <c r="B790" s="100" t="s">
        <v>641</v>
      </c>
      <c r="C790" s="314" t="s">
        <v>711</v>
      </c>
      <c r="D790" s="314"/>
      <c r="E790" s="314"/>
      <c r="F790" s="314"/>
      <c r="G790" s="314"/>
      <c r="H790" s="101">
        <f t="shared" si="14"/>
        <v>3.3600000000000003</v>
      </c>
    </row>
    <row r="791" spans="1:8">
      <c r="A791" s="342"/>
      <c r="B791" s="100" t="s">
        <v>459</v>
      </c>
      <c r="C791" s="314" t="s">
        <v>711</v>
      </c>
      <c r="D791" s="314"/>
      <c r="E791" s="314"/>
      <c r="F791" s="314"/>
      <c r="G791" s="314"/>
      <c r="H791" s="101">
        <f t="shared" si="14"/>
        <v>3.3600000000000003</v>
      </c>
    </row>
    <row r="792" spans="1:8">
      <c r="A792" s="342"/>
      <c r="B792" s="100" t="s">
        <v>492</v>
      </c>
      <c r="C792" s="314" t="s">
        <v>711</v>
      </c>
      <c r="D792" s="314"/>
      <c r="E792" s="314"/>
      <c r="F792" s="314"/>
      <c r="G792" s="314"/>
      <c r="H792" s="101">
        <f t="shared" si="14"/>
        <v>3.3600000000000003</v>
      </c>
    </row>
    <row r="793" spans="1:8">
      <c r="A793" s="342"/>
      <c r="B793" s="100" t="s">
        <v>652</v>
      </c>
      <c r="C793" s="314" t="s">
        <v>711</v>
      </c>
      <c r="D793" s="314"/>
      <c r="E793" s="314"/>
      <c r="F793" s="314"/>
      <c r="G793" s="314"/>
      <c r="H793" s="101">
        <f t="shared" si="14"/>
        <v>3.3600000000000003</v>
      </c>
    </row>
    <row r="794" spans="1:8">
      <c r="A794" s="342"/>
      <c r="B794" s="100" t="s">
        <v>709</v>
      </c>
      <c r="C794" s="314" t="s">
        <v>711</v>
      </c>
      <c r="D794" s="314"/>
      <c r="E794" s="314"/>
      <c r="F794" s="314"/>
      <c r="G794" s="314"/>
      <c r="H794" s="101">
        <f t="shared" si="14"/>
        <v>3.3600000000000003</v>
      </c>
    </row>
    <row r="795" spans="1:8">
      <c r="A795" s="342"/>
      <c r="B795" s="100" t="s">
        <v>653</v>
      </c>
      <c r="C795" s="314" t="s">
        <v>711</v>
      </c>
      <c r="D795" s="314"/>
      <c r="E795" s="314"/>
      <c r="F795" s="314"/>
      <c r="G795" s="314"/>
      <c r="H795" s="101">
        <f t="shared" si="14"/>
        <v>3.3600000000000003</v>
      </c>
    </row>
    <row r="796" spans="1:8">
      <c r="A796" s="342"/>
      <c r="B796" s="100" t="s">
        <v>655</v>
      </c>
      <c r="C796" s="314" t="s">
        <v>711</v>
      </c>
      <c r="D796" s="314"/>
      <c r="E796" s="314"/>
      <c r="F796" s="314"/>
      <c r="G796" s="314"/>
      <c r="H796" s="101">
        <f t="shared" si="14"/>
        <v>3.3600000000000003</v>
      </c>
    </row>
    <row r="797" spans="1:8">
      <c r="A797" s="343"/>
      <c r="B797" s="87"/>
      <c r="C797" s="319" t="s">
        <v>177</v>
      </c>
      <c r="D797" s="319"/>
      <c r="E797" s="319"/>
      <c r="F797" s="319"/>
      <c r="G797" s="319"/>
      <c r="H797" s="96">
        <f>SUM(H763:H796)</f>
        <v>129.36000000000001</v>
      </c>
    </row>
    <row r="798" spans="1:8">
      <c r="A798" s="315" t="str">
        <f>'PLANILHA ORÇAMENTARIA'!A104</f>
        <v>11.10</v>
      </c>
      <c r="B798" s="92">
        <f>'PLANILHA ORÇAMENTARIA'!B104</f>
        <v>72815</v>
      </c>
      <c r="C798" s="93" t="str">
        <f>'PLANILHA ORÇAMENTARIA'!C104</f>
        <v>SINAPI</v>
      </c>
      <c r="D798" s="318" t="str">
        <f>'PLANILHA ORÇAMENTARIA'!D104</f>
        <v>Aplicacao de tinta a base de epoxi sobre piso</v>
      </c>
      <c r="E798" s="318"/>
      <c r="F798" s="318"/>
      <c r="G798" s="91" t="str">
        <f>'PLANILHA ORÇAMENTARIA'!E104</f>
        <v>m²</v>
      </c>
      <c r="H798" s="94">
        <f>H800</f>
        <v>579</v>
      </c>
    </row>
    <row r="799" spans="1:8">
      <c r="A799" s="316"/>
      <c r="B799" s="100" t="s">
        <v>444</v>
      </c>
      <c r="C799" s="314" t="s">
        <v>491</v>
      </c>
      <c r="D799" s="314"/>
      <c r="E799" s="314"/>
      <c r="F799" s="314"/>
      <c r="G799" s="314"/>
      <c r="H799" s="95">
        <v>579</v>
      </c>
    </row>
    <row r="800" spans="1:8">
      <c r="A800" s="317"/>
      <c r="B800" s="87"/>
      <c r="C800" s="319" t="s">
        <v>177</v>
      </c>
      <c r="D800" s="319"/>
      <c r="E800" s="319"/>
      <c r="F800" s="319"/>
      <c r="G800" s="319"/>
      <c r="H800" s="96">
        <f>SUM(H799:H799)</f>
        <v>579</v>
      </c>
    </row>
    <row r="801" spans="1:8" ht="27.75" customHeight="1">
      <c r="A801" s="315" t="str">
        <f>'PLANILHA ORÇAMENTARIA'!A105</f>
        <v>11.11</v>
      </c>
      <c r="B801" s="92" t="str">
        <f>'PLANILHA ORÇAMENTARIA'!B105</f>
        <v>PIN-ACR-030</v>
      </c>
      <c r="C801" s="93" t="str">
        <f>'PLANILHA ORÇAMENTARIA'!C105</f>
        <v>SETOP</v>
      </c>
      <c r="D801" s="318" t="str">
        <f>'PLANILHA ORÇAMENTARIA'!D105</f>
        <v>Pintura acrílica para piso em faixa de demarcação de quadra, duas (2) demãos, faixa com largura de 5 cm</v>
      </c>
      <c r="E801" s="318"/>
      <c r="F801" s="318"/>
      <c r="G801" s="91" t="str">
        <f>'PLANILHA ORÇAMENTARIA'!E105</f>
        <v>m</v>
      </c>
      <c r="H801" s="94">
        <f>H803</f>
        <v>160</v>
      </c>
    </row>
    <row r="802" spans="1:8">
      <c r="A802" s="316"/>
      <c r="B802" s="100" t="s">
        <v>444</v>
      </c>
      <c r="C802" s="314" t="s">
        <v>520</v>
      </c>
      <c r="D802" s="314"/>
      <c r="E802" s="314"/>
      <c r="F802" s="314"/>
      <c r="G802" s="314"/>
      <c r="H802" s="95">
        <v>160</v>
      </c>
    </row>
    <row r="803" spans="1:8">
      <c r="A803" s="317"/>
      <c r="B803" s="87"/>
      <c r="C803" s="319" t="s">
        <v>177</v>
      </c>
      <c r="D803" s="319"/>
      <c r="E803" s="319"/>
      <c r="F803" s="319"/>
      <c r="G803" s="319"/>
      <c r="H803" s="96">
        <f>SUM(H802:H802)</f>
        <v>160</v>
      </c>
    </row>
    <row r="804" spans="1:8" ht="27.75" customHeight="1">
      <c r="A804" s="315" t="str">
        <f>'PLANILHA ORÇAMENTARIA'!A106</f>
        <v>11.12</v>
      </c>
      <c r="B804" s="92" t="str">
        <f>'PLANILHA ORÇAMENTARIA'!B106</f>
        <v>PIN-ZAR-006</v>
      </c>
      <c r="C804" s="93" t="str">
        <f>'PLANILHA ORÇAMENTARIA'!C106</f>
        <v>SETOP</v>
      </c>
      <c r="D804" s="318" t="str">
        <f>'PLANILHA ORÇAMENTARIA'!D106</f>
        <v>Pintura anticorrosiva a base de oxido de ferro (zarcão) em esquadria e superfície metálica, uma (1) demão</v>
      </c>
      <c r="E804" s="318"/>
      <c r="F804" s="318"/>
      <c r="G804" s="91" t="str">
        <f>'PLANILHA ORÇAMENTARIA'!E106</f>
        <v>m²</v>
      </c>
      <c r="H804" s="94">
        <f>H807</f>
        <v>180.20000000000002</v>
      </c>
    </row>
    <row r="805" spans="1:8">
      <c r="A805" s="316"/>
      <c r="B805" s="100" t="s">
        <v>774</v>
      </c>
      <c r="C805" s="314" t="s">
        <v>775</v>
      </c>
      <c r="D805" s="314"/>
      <c r="E805" s="314"/>
      <c r="F805" s="314"/>
      <c r="G805" s="314"/>
      <c r="H805" s="101">
        <f>157*0.2</f>
        <v>31.400000000000002</v>
      </c>
    </row>
    <row r="806" spans="1:8">
      <c r="A806" s="316"/>
      <c r="B806" s="100" t="s">
        <v>444</v>
      </c>
      <c r="C806" s="314" t="s">
        <v>775</v>
      </c>
      <c r="D806" s="314"/>
      <c r="E806" s="314"/>
      <c r="F806" s="314"/>
      <c r="G806" s="314"/>
      <c r="H806" s="95">
        <f>744*0.2</f>
        <v>148.80000000000001</v>
      </c>
    </row>
    <row r="807" spans="1:8">
      <c r="A807" s="317"/>
      <c r="B807" s="87"/>
      <c r="C807" s="319" t="s">
        <v>177</v>
      </c>
      <c r="D807" s="319"/>
      <c r="E807" s="319"/>
      <c r="F807" s="319"/>
      <c r="G807" s="319"/>
      <c r="H807" s="96">
        <f>SUM(H805:H806)</f>
        <v>180.20000000000002</v>
      </c>
    </row>
    <row r="808" spans="1:8">
      <c r="A808" s="326"/>
      <c r="B808" s="327"/>
      <c r="C808" s="327"/>
      <c r="D808" s="327"/>
      <c r="E808" s="327"/>
      <c r="F808" s="327"/>
      <c r="G808" s="327"/>
      <c r="H808" s="328"/>
    </row>
    <row r="809" spans="1:8">
      <c r="A809" s="73">
        <f>'PLANILHA ORÇAMENTARIA'!A108</f>
        <v>12</v>
      </c>
      <c r="B809" s="112"/>
      <c r="C809" s="112"/>
      <c r="D809" s="112" t="s">
        <v>44</v>
      </c>
      <c r="E809" s="112"/>
      <c r="F809" s="112"/>
      <c r="G809" s="112"/>
      <c r="H809" s="113"/>
    </row>
    <row r="810" spans="1:8">
      <c r="A810" s="315" t="str">
        <f>'PLANILHA ORÇAMENTARIA'!A109</f>
        <v>12.1</v>
      </c>
      <c r="B810" s="92" t="str">
        <f>'PLANILHA ORÇAMENTARIA'!B109</f>
        <v>INST-AGU-005</v>
      </c>
      <c r="C810" s="93" t="str">
        <f>'PLANILHA ORÇAMENTARIA'!C109</f>
        <v>SETOP</v>
      </c>
      <c r="D810" s="318" t="str">
        <f>'PLANILHA ORÇAMENTARIA'!D109</f>
        <v>Ponto de água fria embutido, incluindo tubo de pvc rígido soldável e conexões</v>
      </c>
      <c r="E810" s="318"/>
      <c r="F810" s="318"/>
      <c r="G810" s="91" t="str">
        <f>'PLANILHA ORÇAMENTARIA'!E109</f>
        <v>un.</v>
      </c>
      <c r="H810" s="94">
        <f>H819</f>
        <v>20</v>
      </c>
    </row>
    <row r="811" spans="1:8">
      <c r="A811" s="316"/>
      <c r="B811" s="100" t="s">
        <v>503</v>
      </c>
      <c r="C811" s="314" t="s">
        <v>515</v>
      </c>
      <c r="D811" s="314"/>
      <c r="E811" s="314"/>
      <c r="F811" s="314"/>
      <c r="G811" s="314"/>
      <c r="H811" s="101">
        <v>3</v>
      </c>
    </row>
    <row r="812" spans="1:8">
      <c r="A812" s="316"/>
      <c r="B812" s="100" t="s">
        <v>439</v>
      </c>
      <c r="C812" s="314" t="s">
        <v>515</v>
      </c>
      <c r="D812" s="314"/>
      <c r="E812" s="314"/>
      <c r="F812" s="314"/>
      <c r="G812" s="314"/>
      <c r="H812" s="101">
        <v>3</v>
      </c>
    </row>
    <row r="813" spans="1:8">
      <c r="A813" s="316"/>
      <c r="B813" s="100" t="s">
        <v>396</v>
      </c>
      <c r="C813" s="314" t="s">
        <v>515</v>
      </c>
      <c r="D813" s="314"/>
      <c r="E813" s="314"/>
      <c r="F813" s="314"/>
      <c r="G813" s="314"/>
      <c r="H813" s="101">
        <v>1</v>
      </c>
    </row>
    <row r="814" spans="1:8">
      <c r="A814" s="316"/>
      <c r="B814" s="100" t="s">
        <v>435</v>
      </c>
      <c r="C814" s="314" t="s">
        <v>515</v>
      </c>
      <c r="D814" s="314"/>
      <c r="E814" s="314"/>
      <c r="F814" s="314"/>
      <c r="G814" s="314"/>
      <c r="H814" s="101">
        <v>1</v>
      </c>
    </row>
    <row r="815" spans="1:8">
      <c r="A815" s="316"/>
      <c r="B815" s="100" t="s">
        <v>418</v>
      </c>
      <c r="C815" s="314" t="s">
        <v>515</v>
      </c>
      <c r="D815" s="314"/>
      <c r="E815" s="314"/>
      <c r="F815" s="314"/>
      <c r="G815" s="314"/>
      <c r="H815" s="101">
        <v>3</v>
      </c>
    </row>
    <row r="816" spans="1:8">
      <c r="A816" s="316"/>
      <c r="B816" s="100" t="s">
        <v>516</v>
      </c>
      <c r="C816" s="314" t="s">
        <v>515</v>
      </c>
      <c r="D816" s="314"/>
      <c r="E816" s="314"/>
      <c r="F816" s="314"/>
      <c r="G816" s="314"/>
      <c r="H816" s="101">
        <v>4</v>
      </c>
    </row>
    <row r="817" spans="1:8">
      <c r="A817" s="316"/>
      <c r="B817" s="100" t="s">
        <v>517</v>
      </c>
      <c r="C817" s="314" t="s">
        <v>515</v>
      </c>
      <c r="D817" s="314"/>
      <c r="E817" s="314"/>
      <c r="F817" s="314"/>
      <c r="G817" s="314"/>
      <c r="H817" s="101">
        <v>3</v>
      </c>
    </row>
    <row r="818" spans="1:8">
      <c r="A818" s="316"/>
      <c r="B818" s="100" t="s">
        <v>518</v>
      </c>
      <c r="C818" s="314" t="s">
        <v>515</v>
      </c>
      <c r="D818" s="314"/>
      <c r="E818" s="314"/>
      <c r="F818" s="314"/>
      <c r="G818" s="314"/>
      <c r="H818" s="95">
        <v>2</v>
      </c>
    </row>
    <row r="819" spans="1:8">
      <c r="A819" s="317"/>
      <c r="B819" s="87"/>
      <c r="C819" s="319" t="s">
        <v>177</v>
      </c>
      <c r="D819" s="319"/>
      <c r="E819" s="319"/>
      <c r="F819" s="319"/>
      <c r="G819" s="319"/>
      <c r="H819" s="96">
        <f>SUM(H811:H818)</f>
        <v>20</v>
      </c>
    </row>
    <row r="820" spans="1:8">
      <c r="A820" s="326"/>
      <c r="B820" s="327"/>
      <c r="C820" s="327"/>
      <c r="D820" s="327"/>
      <c r="E820" s="327"/>
      <c r="F820" s="327"/>
      <c r="G820" s="327"/>
      <c r="H820" s="328"/>
    </row>
    <row r="821" spans="1:8">
      <c r="A821" s="73">
        <f>'PLANILHA ORÇAMENTARIA'!A111</f>
        <v>13</v>
      </c>
      <c r="B821" s="112"/>
      <c r="C821" s="112"/>
      <c r="D821" s="112" t="s">
        <v>46</v>
      </c>
      <c r="E821" s="112"/>
      <c r="F821" s="112"/>
      <c r="G821" s="112"/>
      <c r="H821" s="113"/>
    </row>
    <row r="822" spans="1:8" ht="26.25" customHeight="1">
      <c r="A822" s="329" t="str">
        <f>'PLANILHA ORÇAMENTARIA'!A112</f>
        <v>13.1</v>
      </c>
      <c r="B822" s="92">
        <f>'PLANILHA ORÇAMENTARIA'!B112</f>
        <v>99262</v>
      </c>
      <c r="C822" s="93" t="str">
        <f>'PLANILHA ORÇAMENTARIA'!C112</f>
        <v>SINAPI</v>
      </c>
      <c r="D822" s="318" t="str">
        <f>'PLANILHA ORÇAMENTARIA'!D112</f>
        <v>Caixa enterrada hidráulica retangular, em alvenaria com blocos de concreto, dimensões internas: 0,80x0,80x0,60 m para rede de drenagem.</v>
      </c>
      <c r="E822" s="318"/>
      <c r="F822" s="318"/>
      <c r="G822" s="91" t="str">
        <f>'PLANILHA ORÇAMENTARIA'!E112</f>
        <v>un.</v>
      </c>
      <c r="H822" s="94">
        <f>H824</f>
        <v>7</v>
      </c>
    </row>
    <row r="823" spans="1:8">
      <c r="A823" s="330"/>
      <c r="B823" s="100" t="s">
        <v>425</v>
      </c>
      <c r="C823" s="314" t="s">
        <v>519</v>
      </c>
      <c r="D823" s="314"/>
      <c r="E823" s="314"/>
      <c r="F823" s="314"/>
      <c r="G823" s="314"/>
      <c r="H823" s="95">
        <v>7</v>
      </c>
    </row>
    <row r="824" spans="1:8">
      <c r="A824" s="331"/>
      <c r="B824" s="87"/>
      <c r="C824" s="319" t="s">
        <v>177</v>
      </c>
      <c r="D824" s="319"/>
      <c r="E824" s="319"/>
      <c r="F824" s="319"/>
      <c r="G824" s="319"/>
      <c r="H824" s="96">
        <f>SUM(H823:H823)</f>
        <v>7</v>
      </c>
    </row>
    <row r="825" spans="1:8" ht="26.25" customHeight="1">
      <c r="A825" s="329" t="str">
        <f>'PLANILHA ORÇAMENTARIA'!A113</f>
        <v>13.2</v>
      </c>
      <c r="B825" s="92" t="str">
        <f>'PLANILHA ORÇAMENTARIA'!B113</f>
        <v>DRE-TUB-015</v>
      </c>
      <c r="C825" s="93" t="str">
        <f>'PLANILHA ORÇAMENTARIA'!C113</f>
        <v>SETOP</v>
      </c>
      <c r="D825" s="318" t="str">
        <f>'PLANILHA ORÇAMENTARIA'!D113</f>
        <v>Fornecimento e assentamento de tubo pvc rígido, drenagem/pluvial, pbv - série normal, dn 100 mm (4"), inclusive conexões</v>
      </c>
      <c r="E825" s="318"/>
      <c r="F825" s="318"/>
      <c r="G825" s="91" t="str">
        <f>'PLANILHA ORÇAMENTARIA'!E113</f>
        <v>m</v>
      </c>
      <c r="H825" s="94">
        <f>H827</f>
        <v>24</v>
      </c>
    </row>
    <row r="826" spans="1:8">
      <c r="A826" s="330"/>
      <c r="B826" s="100" t="s">
        <v>444</v>
      </c>
      <c r="C826" s="314" t="s">
        <v>520</v>
      </c>
      <c r="D826" s="314"/>
      <c r="E826" s="314"/>
      <c r="F826" s="314"/>
      <c r="G826" s="314"/>
      <c r="H826" s="95">
        <v>24</v>
      </c>
    </row>
    <row r="827" spans="1:8">
      <c r="A827" s="331"/>
      <c r="B827" s="87"/>
      <c r="C827" s="319" t="s">
        <v>177</v>
      </c>
      <c r="D827" s="319"/>
      <c r="E827" s="319"/>
      <c r="F827" s="319"/>
      <c r="G827" s="319"/>
      <c r="H827" s="96">
        <f>SUM(H826:H826)</f>
        <v>24</v>
      </c>
    </row>
    <row r="828" spans="1:8" ht="26.25" customHeight="1">
      <c r="A828" s="329" t="str">
        <f>'PLANILHA ORÇAMENTARIA'!A114</f>
        <v>13.3</v>
      </c>
      <c r="B828" s="92" t="str">
        <f>'PLANILHA ORÇAMENTARIA'!B114</f>
        <v>DRE-CAN-005</v>
      </c>
      <c r="C828" s="93" t="str">
        <f>'PLANILHA ORÇAMENTARIA'!C114</f>
        <v>SETOP</v>
      </c>
      <c r="D828" s="318" t="str">
        <f>'PLANILHA ORÇAMENTARIA'!D114</f>
        <v>Canaleta para drenagem, pré-moldada, tipo meia cana, diâmetro 30cm, exclusive tampa, inclusive assentamento em argamassa, traço 1:3 (cimento e areia), escavação, transporte e retirada do material escavado (em caçamba)</v>
      </c>
      <c r="E828" s="318"/>
      <c r="F828" s="318"/>
      <c r="G828" s="91" t="str">
        <f>'PLANILHA ORÇAMENTARIA'!E114</f>
        <v>m</v>
      </c>
      <c r="H828" s="94">
        <f>H830</f>
        <v>111.92000000000002</v>
      </c>
    </row>
    <row r="829" spans="1:8">
      <c r="A829" s="330"/>
      <c r="B829" s="100" t="s">
        <v>425</v>
      </c>
      <c r="C829" s="314" t="s">
        <v>521</v>
      </c>
      <c r="D829" s="314"/>
      <c r="E829" s="314"/>
      <c r="F829" s="314"/>
      <c r="G829" s="314"/>
      <c r="H829" s="95">
        <f>37.29 + 7.49 + 44.03 + 3.79 + 19.32</f>
        <v>111.92000000000002</v>
      </c>
    </row>
    <row r="830" spans="1:8">
      <c r="A830" s="331"/>
      <c r="B830" s="87"/>
      <c r="C830" s="319" t="s">
        <v>177</v>
      </c>
      <c r="D830" s="319"/>
      <c r="E830" s="319"/>
      <c r="F830" s="319"/>
      <c r="G830" s="319"/>
      <c r="H830" s="96">
        <f>SUM(H829:H829)</f>
        <v>111.92000000000002</v>
      </c>
    </row>
    <row r="831" spans="1:8">
      <c r="A831" s="326"/>
      <c r="B831" s="327"/>
      <c r="C831" s="327"/>
      <c r="D831" s="327"/>
      <c r="E831" s="327"/>
      <c r="F831" s="327"/>
      <c r="G831" s="327"/>
      <c r="H831" s="328"/>
    </row>
    <row r="832" spans="1:8">
      <c r="A832" s="73">
        <f>'PLANILHA ORÇAMENTARIA'!A116</f>
        <v>14</v>
      </c>
      <c r="B832" s="112"/>
      <c r="C832" s="112"/>
      <c r="D832" s="112" t="s">
        <v>48</v>
      </c>
      <c r="E832" s="112"/>
      <c r="F832" s="112"/>
      <c r="G832" s="112"/>
      <c r="H832" s="113"/>
    </row>
    <row r="833" spans="1:9" ht="26.25" customHeight="1">
      <c r="A833" s="376" t="str">
        <f>'PLANILHA ORÇAMENTARIA'!A117</f>
        <v>14.1</v>
      </c>
      <c r="B833" s="92" t="str">
        <f>'PLANILHA ORÇAMENTARIA'!B117</f>
        <v>NST-ESG-010</v>
      </c>
      <c r="C833" s="93" t="str">
        <f>'PLANILHA ORÇAMENTARIA'!C117</f>
        <v>SETOP</v>
      </c>
      <c r="D833" s="318" t="str">
        <f>'PLANILHA ORÇAMENTARIA'!D117</f>
        <v>Ponto de esgoto, incluindo tubo de pvc rígido soldável de 50 mm e conexões (pias de cozinha, máquinas de lavar, etc.)</v>
      </c>
      <c r="E833" s="318"/>
      <c r="F833" s="318"/>
      <c r="G833" s="91" t="str">
        <f>'PLANILHA ORÇAMENTARIA'!E117</f>
        <v>un.</v>
      </c>
      <c r="H833" s="94">
        <f>H840</f>
        <v>9</v>
      </c>
    </row>
    <row r="834" spans="1:9">
      <c r="A834" s="377"/>
      <c r="B834" s="100" t="s">
        <v>503</v>
      </c>
      <c r="C834" s="314" t="s">
        <v>515</v>
      </c>
      <c r="D834" s="314"/>
      <c r="E834" s="314"/>
      <c r="F834" s="314"/>
      <c r="G834" s="314"/>
      <c r="H834" s="101">
        <v>1</v>
      </c>
    </row>
    <row r="835" spans="1:9">
      <c r="A835" s="377"/>
      <c r="B835" s="100" t="s">
        <v>439</v>
      </c>
      <c r="C835" s="314" t="s">
        <v>515</v>
      </c>
      <c r="D835" s="314"/>
      <c r="E835" s="314"/>
      <c r="F835" s="314"/>
      <c r="G835" s="314"/>
      <c r="H835" s="101">
        <v>1</v>
      </c>
    </row>
    <row r="836" spans="1:9">
      <c r="A836" s="377"/>
      <c r="B836" s="100" t="s">
        <v>396</v>
      </c>
      <c r="C836" s="314" t="s">
        <v>515</v>
      </c>
      <c r="D836" s="314"/>
      <c r="E836" s="314"/>
      <c r="F836" s="314"/>
      <c r="G836" s="314"/>
      <c r="H836" s="101">
        <v>1</v>
      </c>
    </row>
    <row r="837" spans="1:9">
      <c r="A837" s="377"/>
      <c r="B837" s="100" t="s">
        <v>435</v>
      </c>
      <c r="C837" s="314" t="s">
        <v>515</v>
      </c>
      <c r="D837" s="314"/>
      <c r="E837" s="314"/>
      <c r="F837" s="314"/>
      <c r="G837" s="314"/>
      <c r="H837" s="101">
        <v>1</v>
      </c>
    </row>
    <row r="838" spans="1:9">
      <c r="A838" s="377"/>
      <c r="B838" s="100" t="s">
        <v>418</v>
      </c>
      <c r="C838" s="314" t="s">
        <v>515</v>
      </c>
      <c r="D838" s="314"/>
      <c r="E838" s="314"/>
      <c r="F838" s="314"/>
      <c r="G838" s="314"/>
      <c r="H838" s="101">
        <v>3</v>
      </c>
    </row>
    <row r="839" spans="1:9">
      <c r="A839" s="377"/>
      <c r="B839" s="100" t="s">
        <v>516</v>
      </c>
      <c r="C839" s="314" t="s">
        <v>515</v>
      </c>
      <c r="D839" s="314"/>
      <c r="E839" s="314"/>
      <c r="F839" s="314"/>
      <c r="G839" s="314"/>
      <c r="H839" s="95">
        <v>2</v>
      </c>
    </row>
    <row r="840" spans="1:9">
      <c r="A840" s="378"/>
      <c r="B840" s="87"/>
      <c r="C840" s="319" t="s">
        <v>177</v>
      </c>
      <c r="D840" s="319"/>
      <c r="E840" s="319"/>
      <c r="F840" s="319"/>
      <c r="G840" s="319"/>
      <c r="H840" s="96">
        <f>SUM(H834:H839)</f>
        <v>9</v>
      </c>
    </row>
    <row r="841" spans="1:9">
      <c r="A841" s="376" t="str">
        <f>'PLANILHA ORÇAMENTARIA'!A118</f>
        <v>14.2</v>
      </c>
      <c r="B841" s="92" t="str">
        <f>'PLANILHA ORÇAMENTARIA'!B118</f>
        <v>NST-ESG-015</v>
      </c>
      <c r="C841" s="93" t="str">
        <f>'PLANILHA ORÇAMENTARIA'!C118</f>
        <v>SETOP</v>
      </c>
      <c r="D841" s="318" t="str">
        <f>'PLANILHA ORÇAMENTARIA'!D118</f>
        <v>Ponto de esgoto, incluindo tubo de pvc rígido soldável de 100 mm e conexões (vaso sanitário)</v>
      </c>
      <c r="E841" s="318"/>
      <c r="F841" s="318"/>
      <c r="G841" s="91" t="str">
        <f>'PLANILHA ORÇAMENTARIA'!E118</f>
        <v>un.</v>
      </c>
      <c r="H841" s="94">
        <f>H845</f>
        <v>6</v>
      </c>
    </row>
    <row r="842" spans="1:9">
      <c r="A842" s="377"/>
      <c r="B842" s="100" t="s">
        <v>503</v>
      </c>
      <c r="C842" s="314" t="s">
        <v>515</v>
      </c>
      <c r="D842" s="314"/>
      <c r="E842" s="314"/>
      <c r="F842" s="314"/>
      <c r="G842" s="314"/>
      <c r="H842" s="101">
        <v>2</v>
      </c>
    </row>
    <row r="843" spans="1:9">
      <c r="A843" s="377"/>
      <c r="B843" s="100" t="s">
        <v>439</v>
      </c>
      <c r="C843" s="314" t="s">
        <v>515</v>
      </c>
      <c r="D843" s="314"/>
      <c r="E843" s="314"/>
      <c r="F843" s="314"/>
      <c r="G843" s="314"/>
      <c r="H843" s="101">
        <v>2</v>
      </c>
    </row>
    <row r="844" spans="1:9">
      <c r="A844" s="377"/>
      <c r="B844" s="100" t="s">
        <v>516</v>
      </c>
      <c r="C844" s="314" t="s">
        <v>515</v>
      </c>
      <c r="D844" s="314"/>
      <c r="E844" s="314"/>
      <c r="F844" s="314"/>
      <c r="G844" s="314"/>
      <c r="H844" s="95">
        <v>2</v>
      </c>
    </row>
    <row r="845" spans="1:9">
      <c r="A845" s="378"/>
      <c r="B845" s="87"/>
      <c r="C845" s="319" t="s">
        <v>177</v>
      </c>
      <c r="D845" s="319"/>
      <c r="E845" s="319"/>
      <c r="F845" s="319"/>
      <c r="G845" s="319"/>
      <c r="H845" s="96">
        <f>SUM(H842:H844)</f>
        <v>6</v>
      </c>
    </row>
    <row r="846" spans="1:9">
      <c r="A846" s="326"/>
      <c r="B846" s="327"/>
      <c r="C846" s="327"/>
      <c r="D846" s="327"/>
      <c r="E846" s="327"/>
      <c r="F846" s="327"/>
      <c r="G846" s="327"/>
      <c r="H846" s="328"/>
    </row>
    <row r="847" spans="1:9">
      <c r="A847" s="73">
        <f>'PLANILHA ORÇAMENTARIA'!A120</f>
        <v>15</v>
      </c>
      <c r="B847" s="112"/>
      <c r="C847" s="112"/>
      <c r="D847" s="112" t="s">
        <v>50</v>
      </c>
      <c r="E847" s="112"/>
      <c r="F847" s="112"/>
      <c r="G847" s="112"/>
      <c r="H847" s="113"/>
    </row>
    <row r="848" spans="1:9" ht="29.25" customHeight="1">
      <c r="A848" s="338" t="str">
        <f>'PLANILHA ORÇAMENTARIA'!A121</f>
        <v>15.1</v>
      </c>
      <c r="B848" s="92" t="str">
        <f>'PLANILHA ORÇAMENTARIA'!B121</f>
        <v>LOU-VAS-015</v>
      </c>
      <c r="C848" s="93" t="str">
        <f>'PLANILHA ORÇAMENTARIA'!C121</f>
        <v>SETOP</v>
      </c>
      <c r="D848" s="318" t="str">
        <f>'PLANILHA ORÇAMENTARIA'!D121</f>
        <v>Bacia sanitária (vaso) de louça com caixa acoplada, cor branca, inclusive acessórios de fixação/vedação, engate flexível metálico, fornecimento, instalação e rejuntamento</v>
      </c>
      <c r="E848" s="318"/>
      <c r="F848" s="318"/>
      <c r="G848" s="91" t="str">
        <f>'PLANILHA ORÇAMENTARIA'!E121</f>
        <v>un.</v>
      </c>
      <c r="H848" s="94">
        <f>H853</f>
        <v>8</v>
      </c>
      <c r="I848" s="28"/>
    </row>
    <row r="849" spans="1:8">
      <c r="A849" s="339"/>
      <c r="B849" s="100" t="s">
        <v>493</v>
      </c>
      <c r="C849" s="314" t="s">
        <v>523</v>
      </c>
      <c r="D849" s="314"/>
      <c r="E849" s="314"/>
      <c r="F849" s="314"/>
      <c r="G849" s="314"/>
      <c r="H849" s="101">
        <v>1</v>
      </c>
    </row>
    <row r="850" spans="1:8">
      <c r="A850" s="339"/>
      <c r="B850" s="100" t="s">
        <v>522</v>
      </c>
      <c r="C850" s="314" t="s">
        <v>523</v>
      </c>
      <c r="D850" s="314"/>
      <c r="E850" s="314"/>
      <c r="F850" s="314"/>
      <c r="G850" s="314"/>
      <c r="H850" s="95">
        <v>5</v>
      </c>
    </row>
    <row r="851" spans="1:8">
      <c r="A851" s="339"/>
      <c r="B851" s="100" t="s">
        <v>452</v>
      </c>
      <c r="C851" s="314" t="s">
        <v>523</v>
      </c>
      <c r="D851" s="314"/>
      <c r="E851" s="314"/>
      <c r="F851" s="314"/>
      <c r="G851" s="314"/>
      <c r="H851" s="95">
        <v>1</v>
      </c>
    </row>
    <row r="852" spans="1:8">
      <c r="A852" s="339"/>
      <c r="B852" s="100" t="s">
        <v>525</v>
      </c>
      <c r="C852" s="314" t="s">
        <v>523</v>
      </c>
      <c r="D852" s="314"/>
      <c r="E852" s="314"/>
      <c r="F852" s="314"/>
      <c r="G852" s="314"/>
      <c r="H852" s="95">
        <v>1</v>
      </c>
    </row>
    <row r="853" spans="1:8">
      <c r="A853" s="340"/>
      <c r="B853" s="87"/>
      <c r="C853" s="319" t="s">
        <v>177</v>
      </c>
      <c r="D853" s="319"/>
      <c r="E853" s="319"/>
      <c r="F853" s="319"/>
      <c r="G853" s="319"/>
      <c r="H853" s="96">
        <f>SUM(H849:H852)</f>
        <v>8</v>
      </c>
    </row>
    <row r="854" spans="1:8" ht="44.25" customHeight="1">
      <c r="A854" s="329" t="str">
        <f>'PLANILHA ORÇAMENTARIA'!A122</f>
        <v>15.2</v>
      </c>
      <c r="B854" s="92" t="str">
        <f>'PLANILHA ORÇAMENTARIA'!B122</f>
        <v>LOU-VAS-025</v>
      </c>
      <c r="C854" s="93" t="str">
        <f>'PLANILHA ORÇAMENTARIA'!C122</f>
        <v>SETOP</v>
      </c>
      <c r="D854" s="318" t="str">
        <f>'PLANILHA ORÇAMENTARIA'!D122</f>
        <v>Bacia sanitária (vaso) de louça convencional infantil, cor branca, inclusive acessórios de fixação/vedação, válvula de descarga metálica com acionamento duplo, tubo de ligação de latão com canopla, fornecimento, instalação e rejuntamento</v>
      </c>
      <c r="E854" s="318"/>
      <c r="F854" s="318"/>
      <c r="G854" s="91" t="str">
        <f>'PLANILHA ORÇAMENTARIA'!E122</f>
        <v>un.</v>
      </c>
      <c r="H854" s="94">
        <f>H858</f>
        <v>5</v>
      </c>
    </row>
    <row r="855" spans="1:8">
      <c r="A855" s="330"/>
      <c r="B855" s="100" t="s">
        <v>522</v>
      </c>
      <c r="C855" s="314"/>
      <c r="D855" s="314"/>
      <c r="E855" s="314"/>
      <c r="F855" s="314"/>
      <c r="G855" s="314"/>
      <c r="H855" s="101">
        <v>2</v>
      </c>
    </row>
    <row r="856" spans="1:8">
      <c r="A856" s="330"/>
      <c r="B856" s="100" t="s">
        <v>497</v>
      </c>
      <c r="C856" s="314" t="s">
        <v>523</v>
      </c>
      <c r="D856" s="314"/>
      <c r="E856" s="314"/>
      <c r="F856" s="314"/>
      <c r="G856" s="314"/>
      <c r="H856" s="95">
        <v>2</v>
      </c>
    </row>
    <row r="857" spans="1:8">
      <c r="A857" s="330"/>
      <c r="B857" s="100" t="s">
        <v>457</v>
      </c>
      <c r="C857" s="314" t="s">
        <v>523</v>
      </c>
      <c r="D857" s="314"/>
      <c r="E857" s="314"/>
      <c r="F857" s="314"/>
      <c r="G857" s="314"/>
      <c r="H857" s="95">
        <v>1</v>
      </c>
    </row>
    <row r="858" spans="1:8">
      <c r="A858" s="331"/>
      <c r="B858" s="87"/>
      <c r="C858" s="319" t="s">
        <v>177</v>
      </c>
      <c r="D858" s="319"/>
      <c r="E858" s="319"/>
      <c r="F858" s="319"/>
      <c r="G858" s="319"/>
      <c r="H858" s="96">
        <f>SUM(H855:H857)</f>
        <v>5</v>
      </c>
    </row>
    <row r="859" spans="1:8">
      <c r="A859" s="329" t="str">
        <f>'PLANILHA ORÇAMENTARIA'!A123</f>
        <v>15.3</v>
      </c>
      <c r="B859" s="92" t="str">
        <f>'PLANILHA ORÇAMENTARIA'!B123</f>
        <v>ACE-ASS-005</v>
      </c>
      <c r="C859" s="93" t="str">
        <f>'PLANILHA ORÇAMENTARIA'!C123</f>
        <v>SETOP</v>
      </c>
      <c r="D859" s="318" t="str">
        <f>'PLANILHA ORÇAMENTARIA'!D123</f>
        <v>Assento plástico para vaso - cor branco</v>
      </c>
      <c r="E859" s="318"/>
      <c r="F859" s="318"/>
      <c r="G859" s="91" t="str">
        <f>'PLANILHA ORÇAMENTARIA'!E123</f>
        <v>un.</v>
      </c>
      <c r="H859" s="94">
        <f>H866</f>
        <v>13</v>
      </c>
    </row>
    <row r="860" spans="1:8">
      <c r="A860" s="330"/>
      <c r="B860" s="100" t="s">
        <v>493</v>
      </c>
      <c r="C860" s="314" t="s">
        <v>526</v>
      </c>
      <c r="D860" s="314"/>
      <c r="E860" s="314"/>
      <c r="F860" s="314"/>
      <c r="G860" s="314"/>
      <c r="H860" s="101">
        <v>1</v>
      </c>
    </row>
    <row r="861" spans="1:8">
      <c r="A861" s="330"/>
      <c r="B861" s="100" t="s">
        <v>522</v>
      </c>
      <c r="C861" s="314" t="s">
        <v>526</v>
      </c>
      <c r="D861" s="314"/>
      <c r="E861" s="314"/>
      <c r="F861" s="314"/>
      <c r="G861" s="314"/>
      <c r="H861" s="101">
        <v>7</v>
      </c>
    </row>
    <row r="862" spans="1:8">
      <c r="A862" s="330"/>
      <c r="B862" s="100" t="s">
        <v>452</v>
      </c>
      <c r="C862" s="314" t="s">
        <v>526</v>
      </c>
      <c r="D862" s="314"/>
      <c r="E862" s="314"/>
      <c r="F862" s="314"/>
      <c r="G862" s="314"/>
      <c r="H862" s="101">
        <v>1</v>
      </c>
    </row>
    <row r="863" spans="1:8">
      <c r="A863" s="330"/>
      <c r="B863" s="100" t="s">
        <v>497</v>
      </c>
      <c r="C863" s="314" t="s">
        <v>526</v>
      </c>
      <c r="D863" s="314"/>
      <c r="E863" s="314"/>
      <c r="F863" s="314"/>
      <c r="G863" s="314"/>
      <c r="H863" s="101">
        <v>2</v>
      </c>
    </row>
    <row r="864" spans="1:8">
      <c r="A864" s="330"/>
      <c r="B864" s="100" t="s">
        <v>457</v>
      </c>
      <c r="C864" s="314" t="s">
        <v>526</v>
      </c>
      <c r="D864" s="314"/>
      <c r="E864" s="314"/>
      <c r="F864" s="314"/>
      <c r="G864" s="314"/>
      <c r="H864" s="101">
        <v>1</v>
      </c>
    </row>
    <row r="865" spans="1:8">
      <c r="A865" s="330"/>
      <c r="B865" s="100" t="s">
        <v>524</v>
      </c>
      <c r="C865" s="314" t="s">
        <v>526</v>
      </c>
      <c r="D865" s="314"/>
      <c r="E865" s="314"/>
      <c r="F865" s="314"/>
      <c r="G865" s="314"/>
      <c r="H865" s="101">
        <v>1</v>
      </c>
    </row>
    <row r="866" spans="1:8">
      <c r="A866" s="331"/>
      <c r="B866" s="87"/>
      <c r="C866" s="319" t="s">
        <v>177</v>
      </c>
      <c r="D866" s="319"/>
      <c r="E866" s="319"/>
      <c r="F866" s="319"/>
      <c r="G866" s="319"/>
      <c r="H866" s="96">
        <f>SUM(H860:H865)</f>
        <v>13</v>
      </c>
    </row>
    <row r="867" spans="1:8">
      <c r="A867" s="329" t="str">
        <f>'PLANILHA ORÇAMENTARIA'!A124</f>
        <v>15.4</v>
      </c>
      <c r="B867" s="92" t="str">
        <f>'PLANILHA ORÇAMENTARIA'!B124</f>
        <v>MET-DUC-005</v>
      </c>
      <c r="C867" s="93" t="str">
        <f>'PLANILHA ORÇAMENTARIA'!C124</f>
        <v>SETOP</v>
      </c>
      <c r="D867" s="318" t="str">
        <f>'PLANILHA ORÇAMENTARIA'!D124</f>
        <v>Ducha higiênica metálica, com registro para controle de fluxo de água 1/2"- fornecimento e instalação.</v>
      </c>
      <c r="E867" s="318"/>
      <c r="F867" s="318"/>
      <c r="G867" s="91" t="str">
        <f>'PLANILHA ORÇAMENTARIA'!E124</f>
        <v>un.</v>
      </c>
      <c r="H867" s="94">
        <f>H869</f>
        <v>1</v>
      </c>
    </row>
    <row r="868" spans="1:8">
      <c r="A868" s="330"/>
      <c r="B868" s="100" t="s">
        <v>493</v>
      </c>
      <c r="C868" s="314" t="s">
        <v>526</v>
      </c>
      <c r="D868" s="314"/>
      <c r="E868" s="314"/>
      <c r="F868" s="314"/>
      <c r="G868" s="314"/>
      <c r="H868" s="95">
        <v>1</v>
      </c>
    </row>
    <row r="869" spans="1:8">
      <c r="A869" s="331"/>
      <c r="B869" s="87"/>
      <c r="C869" s="319" t="s">
        <v>177</v>
      </c>
      <c r="D869" s="319"/>
      <c r="E869" s="319"/>
      <c r="F869" s="319"/>
      <c r="G869" s="319"/>
      <c r="H869" s="96">
        <f>SUM(H868:H868)</f>
        <v>1</v>
      </c>
    </row>
    <row r="870" spans="1:8">
      <c r="A870" s="329" t="str">
        <f>'PLANILHA ORÇAMENTARIA'!A125</f>
        <v>15.5</v>
      </c>
      <c r="B870" s="92">
        <f>'PLANILHA ORÇAMENTARIA'!B125</f>
        <v>86901</v>
      </c>
      <c r="C870" s="93" t="str">
        <f>'PLANILHA ORÇAMENTARIA'!C125</f>
        <v>SINAPI</v>
      </c>
      <c r="D870" s="318" t="str">
        <f>'PLANILHA ORÇAMENTARIA'!D125</f>
        <v>Cuba de embutir oval em louça branca, 35 x 50cm ou equivalente - fornecimento e instalação</v>
      </c>
      <c r="E870" s="318"/>
      <c r="F870" s="318"/>
      <c r="G870" s="91" t="str">
        <f>'PLANILHA ORÇAMENTARIA'!E125</f>
        <v>un.</v>
      </c>
      <c r="H870" s="94">
        <f>H873</f>
        <v>2</v>
      </c>
    </row>
    <row r="871" spans="1:8">
      <c r="A871" s="330"/>
      <c r="B871" s="100" t="s">
        <v>439</v>
      </c>
      <c r="C871" s="314" t="s">
        <v>519</v>
      </c>
      <c r="D871" s="314"/>
      <c r="E871" s="314"/>
      <c r="F871" s="314"/>
      <c r="G871" s="314"/>
      <c r="H871" s="101">
        <v>1</v>
      </c>
    </row>
    <row r="872" spans="1:8">
      <c r="A872" s="330"/>
      <c r="B872" s="100" t="s">
        <v>503</v>
      </c>
      <c r="C872" s="314" t="s">
        <v>519</v>
      </c>
      <c r="D872" s="314"/>
      <c r="E872" s="314"/>
      <c r="F872" s="314"/>
      <c r="G872" s="314"/>
      <c r="H872" s="95">
        <v>1</v>
      </c>
    </row>
    <row r="873" spans="1:8">
      <c r="A873" s="331"/>
      <c r="B873" s="87"/>
      <c r="C873" s="319" t="s">
        <v>177</v>
      </c>
      <c r="D873" s="319"/>
      <c r="E873" s="319"/>
      <c r="F873" s="319"/>
      <c r="G873" s="319"/>
      <c r="H873" s="96">
        <f>SUM(H871:H872)</f>
        <v>2</v>
      </c>
    </row>
    <row r="874" spans="1:8" ht="43.5" customHeight="1">
      <c r="A874" s="329" t="str">
        <f>'PLANILHA ORÇAMENTARIA'!A126</f>
        <v>15.6</v>
      </c>
      <c r="B874" s="92" t="str">
        <f>'PLANILHA ORÇAMENTARIA'!B126</f>
        <v>LOU-LAV-015</v>
      </c>
      <c r="C874" s="93" t="str">
        <f>'PLANILHA ORÇAMENTARIA'!C126</f>
        <v>SETOP</v>
      </c>
      <c r="D874" s="318" t="str">
        <f>'PLANILHA ORÇAMENTARIA'!D126</f>
        <v>Lavatório de louça branca sem coluna, tamanho médio, inclusive acessórios de fixação, válvula de escoamento de metal com acabamento cromado, sifão de metal tipo copo com acabamento cromado, fornecimento, instalação e rejuntamento, exclusive torneira e engate flexível.</v>
      </c>
      <c r="E874" s="318"/>
      <c r="F874" s="318"/>
      <c r="G874" s="91" t="str">
        <f>'PLANILHA ORÇAMENTARIA'!E126</f>
        <v>un.</v>
      </c>
      <c r="H874" s="94">
        <f>H876</f>
        <v>1</v>
      </c>
    </row>
    <row r="875" spans="1:8">
      <c r="A875" s="330"/>
      <c r="B875" s="100" t="s">
        <v>396</v>
      </c>
      <c r="C875" s="314" t="s">
        <v>519</v>
      </c>
      <c r="D875" s="314"/>
      <c r="E875" s="314"/>
      <c r="F875" s="314"/>
      <c r="G875" s="314"/>
      <c r="H875" s="95">
        <v>1</v>
      </c>
    </row>
    <row r="876" spans="1:8">
      <c r="A876" s="331"/>
      <c r="B876" s="87"/>
      <c r="C876" s="319" t="s">
        <v>177</v>
      </c>
      <c r="D876" s="319"/>
      <c r="E876" s="319"/>
      <c r="F876" s="319"/>
      <c r="G876" s="319"/>
      <c r="H876" s="96">
        <f>SUM(H875:H875)</f>
        <v>1</v>
      </c>
    </row>
    <row r="877" spans="1:8" ht="29.25" customHeight="1">
      <c r="A877" s="329" t="str">
        <f>'PLANILHA ORÇAMENTARIA'!A127</f>
        <v>15.7</v>
      </c>
      <c r="B877" s="92" t="str">
        <f>'PLANILHA ORÇAMENTARIA'!B127</f>
        <v>COMP.04</v>
      </c>
      <c r="C877" s="93" t="str">
        <f>'PLANILHA ORÇAMENTARIA'!C127</f>
        <v xml:space="preserve">CCU </v>
      </c>
      <c r="D877" s="318" t="str">
        <f>'PLANILHA ORÇAMENTARIA'!D127</f>
        <v>Banheira infantil de embutir em fibra de vidro</v>
      </c>
      <c r="E877" s="318"/>
      <c r="F877" s="318"/>
      <c r="G877" s="91" t="str">
        <f>'PLANILHA ORÇAMENTARIA'!E127</f>
        <v>un.</v>
      </c>
      <c r="H877" s="94">
        <f>H879</f>
        <v>1</v>
      </c>
    </row>
    <row r="878" spans="1:8">
      <c r="A878" s="330"/>
      <c r="B878" s="100" t="s">
        <v>457</v>
      </c>
      <c r="C878" s="314" t="s">
        <v>519</v>
      </c>
      <c r="D878" s="314"/>
      <c r="E878" s="314"/>
      <c r="F878" s="314"/>
      <c r="G878" s="314"/>
      <c r="H878" s="95">
        <v>1</v>
      </c>
    </row>
    <row r="879" spans="1:8">
      <c r="A879" s="331"/>
      <c r="B879" s="87"/>
      <c r="C879" s="319" t="s">
        <v>177</v>
      </c>
      <c r="D879" s="319"/>
      <c r="E879" s="319"/>
      <c r="F879" s="319"/>
      <c r="G879" s="319"/>
      <c r="H879" s="96">
        <f>SUM(H878:H878)</f>
        <v>1</v>
      </c>
    </row>
    <row r="880" spans="1:8">
      <c r="A880" s="329" t="str">
        <f>'PLANILHA ORÇAMENTARIA'!A128</f>
        <v>15.8</v>
      </c>
      <c r="B880" s="92">
        <f>'PLANILHA ORÇAMENTARIA'!B128</f>
        <v>7349</v>
      </c>
      <c r="C880" s="93" t="str">
        <f>'PLANILHA ORÇAMENTARIA'!C128</f>
        <v>ORSE</v>
      </c>
      <c r="D880" s="318" t="str">
        <f>'PLANILHA ORÇAMENTARIA'!D128</f>
        <v>Chuveiro comum em plástico cromado, com cano, 4 temperaturas (110/220 v).- fornecimento e instalação.</v>
      </c>
      <c r="E880" s="318"/>
      <c r="F880" s="318"/>
      <c r="G880" s="91" t="str">
        <f>'PLANILHA ORÇAMENTARIA'!E128</f>
        <v>un.</v>
      </c>
      <c r="H880" s="94">
        <f>H884</f>
        <v>3</v>
      </c>
    </row>
    <row r="881" spans="1:8">
      <c r="A881" s="330"/>
      <c r="B881" s="100" t="s">
        <v>439</v>
      </c>
      <c r="C881" s="314" t="s">
        <v>519</v>
      </c>
      <c r="D881" s="314"/>
      <c r="E881" s="314"/>
      <c r="F881" s="314"/>
      <c r="G881" s="314"/>
      <c r="H881" s="95">
        <v>1</v>
      </c>
    </row>
    <row r="882" spans="1:8">
      <c r="A882" s="330"/>
      <c r="B882" s="100" t="s">
        <v>503</v>
      </c>
      <c r="C882" s="314" t="s">
        <v>519</v>
      </c>
      <c r="D882" s="314"/>
      <c r="E882" s="314"/>
      <c r="F882" s="314"/>
      <c r="G882" s="314"/>
      <c r="H882" s="101">
        <v>1</v>
      </c>
    </row>
    <row r="883" spans="1:8">
      <c r="A883" s="330"/>
      <c r="B883" s="100" t="s">
        <v>527</v>
      </c>
      <c r="C883" s="314" t="s">
        <v>519</v>
      </c>
      <c r="D883" s="314"/>
      <c r="E883" s="314"/>
      <c r="F883" s="314"/>
      <c r="G883" s="314"/>
      <c r="H883" s="95">
        <v>1</v>
      </c>
    </row>
    <row r="884" spans="1:8">
      <c r="A884" s="331"/>
      <c r="B884" s="87"/>
      <c r="C884" s="319" t="s">
        <v>177</v>
      </c>
      <c r="D884" s="319"/>
      <c r="E884" s="319"/>
      <c r="F884" s="319"/>
      <c r="G884" s="319"/>
      <c r="H884" s="96">
        <f>SUM(H881:H883)</f>
        <v>3</v>
      </c>
    </row>
    <row r="885" spans="1:8" ht="42.75" customHeight="1">
      <c r="A885" s="329" t="str">
        <f>'PLANILHA ORÇAMENTARIA'!A129</f>
        <v>15.9</v>
      </c>
      <c r="B885" s="92">
        <f>'PLANILHA ORÇAMENTARIA'!B129</f>
        <v>95544</v>
      </c>
      <c r="C885" s="93" t="str">
        <f>'PLANILHA ORÇAMENTARIA'!C129</f>
        <v>SINAPI</v>
      </c>
      <c r="D885" s="318" t="str">
        <f>'PLANILHA ORÇAMENTARIA'!D129</f>
        <v>Papeleira de parede em metal cromado sem tampa, incluso fixação.</v>
      </c>
      <c r="E885" s="318"/>
      <c r="F885" s="318"/>
      <c r="G885" s="91" t="str">
        <f>'PLANILHA ORÇAMENTARIA'!E129</f>
        <v>un.</v>
      </c>
      <c r="H885" s="94">
        <f>H887</f>
        <v>14</v>
      </c>
    </row>
    <row r="886" spans="1:8">
      <c r="A886" s="330"/>
      <c r="B886" s="100" t="s">
        <v>425</v>
      </c>
      <c r="C886" s="314" t="s">
        <v>519</v>
      </c>
      <c r="D886" s="314"/>
      <c r="E886" s="314"/>
      <c r="F886" s="314"/>
      <c r="G886" s="314"/>
      <c r="H886" s="95">
        <v>14</v>
      </c>
    </row>
    <row r="887" spans="1:8">
      <c r="A887" s="331"/>
      <c r="B887" s="87"/>
      <c r="C887" s="319" t="s">
        <v>177</v>
      </c>
      <c r="D887" s="319"/>
      <c r="E887" s="319"/>
      <c r="F887" s="319"/>
      <c r="G887" s="319"/>
      <c r="H887" s="96">
        <f>SUM(H886:H886)</f>
        <v>14</v>
      </c>
    </row>
    <row r="888" spans="1:8" ht="42.75" customHeight="1">
      <c r="A888" s="329" t="str">
        <f>'PLANILHA ORÇAMENTARIA'!A130</f>
        <v>15.10</v>
      </c>
      <c r="B888" s="92" t="str">
        <f>'PLANILHA ORÇAMENTARIA'!B130</f>
        <v>ED-9156</v>
      </c>
      <c r="C888" s="93" t="str">
        <f>'PLANILHA ORÇAMENTARIA'!C130</f>
        <v>SETOP</v>
      </c>
      <c r="D888" s="318" t="str">
        <f>'PLANILHA ORÇAMENTARIA'!D130</f>
        <v>Tanque de mármore sintético duplo, capacidade 37 litros, inclusive acessórios de fixação, válvula de escoamento de metal com acabamento cromado, sifão de metal tipo copo com acabamento cromado, fornecimento e instalação, exclusive torneira</v>
      </c>
      <c r="E888" s="318"/>
      <c r="F888" s="318"/>
      <c r="G888" s="91" t="str">
        <f>'PLANILHA ORÇAMENTARIA'!E130</f>
        <v>un.</v>
      </c>
      <c r="H888" s="94">
        <f>H890</f>
        <v>1</v>
      </c>
    </row>
    <row r="889" spans="1:8">
      <c r="A889" s="330"/>
      <c r="B889" s="100" t="s">
        <v>418</v>
      </c>
      <c r="C889" s="314" t="s">
        <v>519</v>
      </c>
      <c r="D889" s="314"/>
      <c r="E889" s="314"/>
      <c r="F889" s="314"/>
      <c r="G889" s="314"/>
      <c r="H889" s="95">
        <v>1</v>
      </c>
    </row>
    <row r="890" spans="1:8">
      <c r="A890" s="331"/>
      <c r="B890" s="87"/>
      <c r="C890" s="319" t="s">
        <v>177</v>
      </c>
      <c r="D890" s="319"/>
      <c r="E890" s="319"/>
      <c r="F890" s="319"/>
      <c r="G890" s="319"/>
      <c r="H890" s="96">
        <f>SUM(H889:H889)</f>
        <v>1</v>
      </c>
    </row>
    <row r="891" spans="1:8" ht="42.75" customHeight="1">
      <c r="A891" s="329" t="str">
        <f>'PLANILHA ORÇAMENTARIA'!A131</f>
        <v>15.11</v>
      </c>
      <c r="B891" s="92" t="str">
        <f>'PLANILHA ORÇAMENTARIA'!B131</f>
        <v>ACE-BAR-025</v>
      </c>
      <c r="C891" s="93" t="str">
        <f>'PLANILHA ORÇAMENTARIA'!C131</f>
        <v>SETOP</v>
      </c>
      <c r="D891" s="318" t="str">
        <f>'PLANILHA ORÇAMENTARIA'!D131</f>
        <v>Barra de apoio vertical em aço inox  para p.n.e.l=70cm, inclusive fixação</v>
      </c>
      <c r="E891" s="318"/>
      <c r="F891" s="318"/>
      <c r="G891" s="91" t="str">
        <f>'PLANILHA ORÇAMENTARIA'!E131</f>
        <v>un.</v>
      </c>
      <c r="H891" s="94">
        <f>H893</f>
        <v>1</v>
      </c>
    </row>
    <row r="892" spans="1:8">
      <c r="A892" s="330"/>
      <c r="B892" s="100" t="s">
        <v>493</v>
      </c>
      <c r="C892" s="314" t="s">
        <v>519</v>
      </c>
      <c r="D892" s="314"/>
      <c r="E892" s="314"/>
      <c r="F892" s="314"/>
      <c r="G892" s="314"/>
      <c r="H892" s="95">
        <v>1</v>
      </c>
    </row>
    <row r="893" spans="1:8">
      <c r="A893" s="331"/>
      <c r="B893" s="87"/>
      <c r="C893" s="319" t="s">
        <v>177</v>
      </c>
      <c r="D893" s="319"/>
      <c r="E893" s="319"/>
      <c r="F893" s="319"/>
      <c r="G893" s="319"/>
      <c r="H893" s="96">
        <f>SUM(H892:H892)</f>
        <v>1</v>
      </c>
    </row>
    <row r="894" spans="1:8" ht="42.75" customHeight="1">
      <c r="A894" s="329" t="str">
        <f>'PLANILHA ORÇAMENTARIA'!A132</f>
        <v>15.12</v>
      </c>
      <c r="B894" s="92" t="str">
        <f>'PLANILHA ORÇAMENTARIA'!B132</f>
        <v>ACE-BAR-020</v>
      </c>
      <c r="C894" s="93" t="str">
        <f>'PLANILHA ORÇAMENTARIA'!C132</f>
        <v>SETOP</v>
      </c>
      <c r="D894" s="318" t="str">
        <f>'PLANILHA ORÇAMENTARIA'!D132</f>
        <v>Barra de apoio p.n.e. l = 40 cm, inclusive fixação</v>
      </c>
      <c r="E894" s="318"/>
      <c r="F894" s="318"/>
      <c r="G894" s="91" t="str">
        <f>'PLANILHA ORÇAMENTARIA'!E132</f>
        <v>un.</v>
      </c>
      <c r="H894" s="94">
        <f>H896</f>
        <v>3</v>
      </c>
    </row>
    <row r="895" spans="1:8">
      <c r="A895" s="330"/>
      <c r="B895" s="100" t="s">
        <v>493</v>
      </c>
      <c r="C895" s="314" t="s">
        <v>519</v>
      </c>
      <c r="D895" s="314"/>
      <c r="E895" s="314"/>
      <c r="F895" s="314"/>
      <c r="G895" s="314"/>
      <c r="H895" s="95">
        <v>3</v>
      </c>
    </row>
    <row r="896" spans="1:8">
      <c r="A896" s="331"/>
      <c r="B896" s="87"/>
      <c r="C896" s="319" t="s">
        <v>177</v>
      </c>
      <c r="D896" s="319"/>
      <c r="E896" s="319"/>
      <c r="F896" s="319"/>
      <c r="G896" s="319"/>
      <c r="H896" s="96">
        <f>SUM(H895:H895)</f>
        <v>3</v>
      </c>
    </row>
    <row r="897" spans="1:8" ht="42.75" customHeight="1">
      <c r="A897" s="329" t="str">
        <f>'PLANILHA ORÇAMENTARIA'!A133</f>
        <v>15.13</v>
      </c>
      <c r="B897" s="92">
        <f>'PLANILHA ORÇAMENTARIA'!B133</f>
        <v>100865</v>
      </c>
      <c r="C897" s="93" t="str">
        <f>'PLANILHA ORÇAMENTARIA'!C133</f>
        <v>ORSE</v>
      </c>
      <c r="D897" s="318" t="str">
        <f>'PLANILHA ORÇAMENTARIA'!D133</f>
        <v>Barra de apoio lateral articulada, com trava, em aco inox polido, fixada na parede - fornecimento e instalação</v>
      </c>
      <c r="E897" s="318"/>
      <c r="F897" s="318"/>
      <c r="G897" s="91" t="str">
        <f>'PLANILHA ORÇAMENTARIA'!E133</f>
        <v>un.</v>
      </c>
      <c r="H897" s="94">
        <f>H899</f>
        <v>1</v>
      </c>
    </row>
    <row r="898" spans="1:8">
      <c r="A898" s="330"/>
      <c r="B898" s="100" t="s">
        <v>493</v>
      </c>
      <c r="C898" s="314" t="s">
        <v>519</v>
      </c>
      <c r="D898" s="314"/>
      <c r="E898" s="314"/>
      <c r="F898" s="314"/>
      <c r="G898" s="314"/>
      <c r="H898" s="95">
        <v>1</v>
      </c>
    </row>
    <row r="899" spans="1:8">
      <c r="A899" s="331"/>
      <c r="B899" s="87"/>
      <c r="C899" s="319" t="s">
        <v>177</v>
      </c>
      <c r="D899" s="319"/>
      <c r="E899" s="319"/>
      <c r="F899" s="319"/>
      <c r="G899" s="319"/>
      <c r="H899" s="96">
        <f>SUM(H898:H898)</f>
        <v>1</v>
      </c>
    </row>
    <row r="900" spans="1:8" ht="42.75" customHeight="1">
      <c r="A900" s="329" t="str">
        <f>'PLANILHA ORÇAMENTARIA'!A134</f>
        <v>15.14</v>
      </c>
      <c r="B900" s="92">
        <f>'PLANILHA ORÇAMENTARIA'!B134</f>
        <v>86935</v>
      </c>
      <c r="C900" s="93" t="str">
        <f>'PLANILHA ORÇAMENTARIA'!C134</f>
        <v>SINAPI</v>
      </c>
      <c r="D900" s="318" t="str">
        <f>'PLANILHA ORÇAMENTARIA'!D134</f>
        <v>Cuba de embutir de aço inoxidável média, incluso válvula tipo americana em metal cromado e sifão flexível em pvc- fornecimento e instalação</v>
      </c>
      <c r="E900" s="318"/>
      <c r="F900" s="318"/>
      <c r="G900" s="91" t="str">
        <f>'PLANILHA ORÇAMENTARIA'!E134</f>
        <v>un.</v>
      </c>
      <c r="H900" s="94">
        <f>H902</f>
        <v>1</v>
      </c>
    </row>
    <row r="901" spans="1:8">
      <c r="A901" s="330"/>
      <c r="B901" s="100" t="s">
        <v>528</v>
      </c>
      <c r="C901" s="314" t="s">
        <v>519</v>
      </c>
      <c r="D901" s="314"/>
      <c r="E901" s="314"/>
      <c r="F901" s="314"/>
      <c r="G901" s="314"/>
      <c r="H901" s="95">
        <v>1</v>
      </c>
    </row>
    <row r="902" spans="1:8">
      <c r="A902" s="331"/>
      <c r="B902" s="87"/>
      <c r="C902" s="319" t="s">
        <v>177</v>
      </c>
      <c r="D902" s="319"/>
      <c r="E902" s="319"/>
      <c r="F902" s="319"/>
      <c r="G902" s="319"/>
      <c r="H902" s="96">
        <f>SUM(H901:H901)</f>
        <v>1</v>
      </c>
    </row>
    <row r="903" spans="1:8" ht="42.75" customHeight="1">
      <c r="A903" s="329" t="str">
        <f>'PLANILHA ORÇAMENTARIA'!A135</f>
        <v>15.15</v>
      </c>
      <c r="B903" s="92" t="str">
        <f>'PLANILHA ORÇAMENTARIA'!B135</f>
        <v>LOU-TAN-005</v>
      </c>
      <c r="C903" s="93" t="str">
        <f>'PLANILHA ORÇAMENTARIA'!C135</f>
        <v>SETOP</v>
      </c>
      <c r="D903" s="318" t="str">
        <f>'PLANILHA ORÇAMENTARIA'!D135</f>
        <v>Cuba em aço inoxidável de embutir, aisi304, aplicação para tanque (600x600x400mm), assentamento em bancada, inclusive válvula de escoamento de metal com acabamento cromado, sifão de metal tipo copo com acabamento cromado, fornecimento e instalação</v>
      </c>
      <c r="E903" s="318"/>
      <c r="F903" s="318"/>
      <c r="G903" s="91" t="str">
        <f>'PLANILHA ORÇAMENTARIA'!E135</f>
        <v>un.</v>
      </c>
      <c r="H903" s="94">
        <f>H905</f>
        <v>1</v>
      </c>
    </row>
    <row r="904" spans="1:8">
      <c r="A904" s="330"/>
      <c r="B904" s="100" t="s">
        <v>396</v>
      </c>
      <c r="C904" s="314" t="s">
        <v>519</v>
      </c>
      <c r="D904" s="314"/>
      <c r="E904" s="314"/>
      <c r="F904" s="314"/>
      <c r="G904" s="314"/>
      <c r="H904" s="95">
        <v>1</v>
      </c>
    </row>
    <row r="905" spans="1:8">
      <c r="A905" s="331"/>
      <c r="B905" s="87"/>
      <c r="C905" s="319" t="s">
        <v>177</v>
      </c>
      <c r="D905" s="319"/>
      <c r="E905" s="319"/>
      <c r="F905" s="319"/>
      <c r="G905" s="319"/>
      <c r="H905" s="96">
        <f>SUM(H904:H904)</f>
        <v>1</v>
      </c>
    </row>
    <row r="906" spans="1:8" ht="42.75" customHeight="1">
      <c r="A906" s="329" t="str">
        <f>'PLANILHA ORÇAMENTARIA'!A136</f>
        <v>15.16</v>
      </c>
      <c r="B906" s="92" t="str">
        <f>'PLANILHA ORÇAMENTARIA'!B136</f>
        <v>MET-TOR-030</v>
      </c>
      <c r="C906" s="93" t="str">
        <f>'PLANILHA ORÇAMENTARIA'!C136</f>
        <v>SETOP</v>
      </c>
      <c r="D906" s="318" t="str">
        <f>'PLANILHA ORÇAMENTARIA'!D136</f>
        <v>Torneira metálica para lavatório, fechamento automático, acabamento cromado, com arejador, aplicação de mesa, inclusive engate flexível metálico, fornecimento e instalação</v>
      </c>
      <c r="E906" s="318"/>
      <c r="F906" s="318"/>
      <c r="G906" s="91" t="str">
        <f>'PLANILHA ORÇAMENTARIA'!E136</f>
        <v>un.</v>
      </c>
      <c r="H906" s="94">
        <f>H908</f>
        <v>11</v>
      </c>
    </row>
    <row r="907" spans="1:8">
      <c r="A907" s="330"/>
      <c r="B907" s="100" t="s">
        <v>425</v>
      </c>
      <c r="C907" s="314" t="s">
        <v>519</v>
      </c>
      <c r="D907" s="314"/>
      <c r="E907" s="314"/>
      <c r="F907" s="314"/>
      <c r="G907" s="314"/>
      <c r="H907" s="95">
        <v>11</v>
      </c>
    </row>
    <row r="908" spans="1:8">
      <c r="A908" s="331"/>
      <c r="B908" s="87"/>
      <c r="C908" s="319" t="s">
        <v>177</v>
      </c>
      <c r="D908" s="319"/>
      <c r="E908" s="319"/>
      <c r="F908" s="319"/>
      <c r="G908" s="319"/>
      <c r="H908" s="96">
        <f>SUM(H907:H907)</f>
        <v>11</v>
      </c>
    </row>
    <row r="909" spans="1:8" ht="42.75" customHeight="1">
      <c r="A909" s="329" t="str">
        <f>'PLANILHA ORÇAMENTARIA'!A137</f>
        <v>15.17</v>
      </c>
      <c r="B909" s="92" t="str">
        <f>'PLANILHA ORÇAMENTARIA'!B137</f>
        <v>MET-TOR-020</v>
      </c>
      <c r="C909" s="93" t="str">
        <f>'PLANILHA ORÇAMENTARIA'!C137</f>
        <v>SETOP</v>
      </c>
      <c r="D909" s="318" t="str">
        <f>'PLANILHA ORÇAMENTARIA'!D137</f>
        <v>Torneira metálica para pia, bica móvel, acabamento cromado, com arejador, aplicação de parede, inclusive  fornecimento e instalação</v>
      </c>
      <c r="E909" s="318"/>
      <c r="F909" s="318"/>
      <c r="G909" s="91" t="str">
        <f>'PLANILHA ORÇAMENTARIA'!E137</f>
        <v>un.</v>
      </c>
      <c r="H909" s="94">
        <f>H911</f>
        <v>2</v>
      </c>
    </row>
    <row r="910" spans="1:8">
      <c r="A910" s="330"/>
      <c r="B910" s="100" t="s">
        <v>425</v>
      </c>
      <c r="C910" s="314" t="s">
        <v>519</v>
      </c>
      <c r="D910" s="314"/>
      <c r="E910" s="314"/>
      <c r="F910" s="314"/>
      <c r="G910" s="314"/>
      <c r="H910" s="95">
        <v>2</v>
      </c>
    </row>
    <row r="911" spans="1:8">
      <c r="A911" s="331"/>
      <c r="B911" s="87"/>
      <c r="C911" s="319" t="s">
        <v>177</v>
      </c>
      <c r="D911" s="319"/>
      <c r="E911" s="319"/>
      <c r="F911" s="319"/>
      <c r="G911" s="319"/>
      <c r="H911" s="96">
        <f>SUM(H910:H910)</f>
        <v>2</v>
      </c>
    </row>
    <row r="912" spans="1:8" ht="42.75" customHeight="1">
      <c r="A912" s="329" t="str">
        <f>'PLANILHA ORÇAMENTARIA'!A138</f>
        <v>15.18</v>
      </c>
      <c r="B912" s="92" t="str">
        <f>'PLANILHA ORÇAMENTARIA'!B138</f>
        <v>MET-TOR-040</v>
      </c>
      <c r="C912" s="93" t="str">
        <f>'PLANILHA ORÇAMENTARIA'!C138</f>
        <v>SETOP</v>
      </c>
      <c r="D912" s="318" t="str">
        <f>'PLANILHA ORÇAMENTARIA'!D138</f>
        <v>Torneira metálica para tanque, acabamento cromado, inclusive engate flexível metálico, fornecimento e instalação</v>
      </c>
      <c r="E912" s="318"/>
      <c r="F912" s="318"/>
      <c r="G912" s="91" t="str">
        <f>'PLANILHA ORÇAMENTARIA'!E138</f>
        <v>un.</v>
      </c>
      <c r="H912" s="94">
        <f>H914</f>
        <v>2</v>
      </c>
    </row>
    <row r="913" spans="1:9">
      <c r="A913" s="330"/>
      <c r="B913" s="100" t="s">
        <v>425</v>
      </c>
      <c r="C913" s="314" t="s">
        <v>519</v>
      </c>
      <c r="D913" s="314"/>
      <c r="E913" s="314"/>
      <c r="F913" s="314"/>
      <c r="G913" s="314"/>
      <c r="H913" s="95">
        <v>2</v>
      </c>
    </row>
    <row r="914" spans="1:9">
      <c r="A914" s="331"/>
      <c r="B914" s="87"/>
      <c r="C914" s="319" t="s">
        <v>177</v>
      </c>
      <c r="D914" s="319"/>
      <c r="E914" s="319"/>
      <c r="F914" s="319"/>
      <c r="G914" s="319"/>
      <c r="H914" s="96">
        <f>SUM(H913:H913)</f>
        <v>2</v>
      </c>
    </row>
    <row r="915" spans="1:9" ht="42.75" customHeight="1">
      <c r="A915" s="329" t="str">
        <f>'PLANILHA ORÇAMENTARIA'!A139</f>
        <v>15.19</v>
      </c>
      <c r="B915" s="92">
        <f>'PLANILHA ORÇAMENTARIA'!B139</f>
        <v>95547</v>
      </c>
      <c r="C915" s="93" t="str">
        <f>'PLANILHA ORÇAMENTARIA'!C139</f>
        <v>SINAPI</v>
      </c>
      <c r="D915" s="318" t="str">
        <f>'PLANILHA ORÇAMENTARIA'!D139</f>
        <v>Saboneteira plástica tipo dispenser para sabonete liquido com reservatório 800 a 1500 ml, incluso fixação.</v>
      </c>
      <c r="E915" s="318"/>
      <c r="F915" s="318"/>
      <c r="G915" s="91" t="str">
        <f>'PLANILHA ORÇAMENTARIA'!E139</f>
        <v>un.</v>
      </c>
      <c r="H915" s="94">
        <f>H917</f>
        <v>12</v>
      </c>
    </row>
    <row r="916" spans="1:9">
      <c r="A916" s="330"/>
      <c r="B916" s="100" t="s">
        <v>425</v>
      </c>
      <c r="C916" s="314" t="s">
        <v>519</v>
      </c>
      <c r="D916" s="314"/>
      <c r="E916" s="314"/>
      <c r="F916" s="314"/>
      <c r="G916" s="314"/>
      <c r="H916" s="95">
        <v>12</v>
      </c>
    </row>
    <row r="917" spans="1:9">
      <c r="A917" s="331"/>
      <c r="B917" s="87"/>
      <c r="C917" s="319" t="s">
        <v>177</v>
      </c>
      <c r="D917" s="319"/>
      <c r="E917" s="319"/>
      <c r="F917" s="319"/>
      <c r="G917" s="319"/>
      <c r="H917" s="96">
        <f>SUM(H916:H916)</f>
        <v>12</v>
      </c>
    </row>
    <row r="918" spans="1:9" ht="42.75" customHeight="1">
      <c r="A918" s="329" t="str">
        <f>'PLANILHA ORÇAMENTARIA'!A140</f>
        <v>15.20</v>
      </c>
      <c r="B918" s="110" t="str">
        <f>'PLANILHA ORÇAMENTARIA'!B140</f>
        <v>C4825</v>
      </c>
      <c r="C918" s="111" t="str">
        <f>'PLANILHA ORÇAMENTARIA'!C140</f>
        <v>SEINFRA</v>
      </c>
      <c r="D918" s="318" t="str">
        <f>'PLANILHA ORÇAMENTARIA'!D140</f>
        <v>Toalheiro plástico tipo dispenser para papel toalha interfolhado - fornecimento e instalação.</v>
      </c>
      <c r="E918" s="318"/>
      <c r="F918" s="318"/>
      <c r="G918" s="91" t="str">
        <f>'PLANILHA ORÇAMENTARIA'!E140</f>
        <v>un.</v>
      </c>
      <c r="H918" s="94">
        <f>H920</f>
        <v>12</v>
      </c>
    </row>
    <row r="919" spans="1:9">
      <c r="A919" s="330"/>
      <c r="B919" s="100" t="s">
        <v>425</v>
      </c>
      <c r="C919" s="314" t="s">
        <v>519</v>
      </c>
      <c r="D919" s="314"/>
      <c r="E919" s="314"/>
      <c r="F919" s="314"/>
      <c r="G919" s="314"/>
      <c r="H919" s="95">
        <v>12</v>
      </c>
    </row>
    <row r="920" spans="1:9">
      <c r="A920" s="331"/>
      <c r="B920" s="87"/>
      <c r="C920" s="319" t="s">
        <v>177</v>
      </c>
      <c r="D920" s="319"/>
      <c r="E920" s="319"/>
      <c r="F920" s="319"/>
      <c r="G920" s="319"/>
      <c r="H920" s="96">
        <f>SUM(H919:H919)</f>
        <v>12</v>
      </c>
    </row>
    <row r="921" spans="1:9">
      <c r="A921" s="326"/>
      <c r="B921" s="327"/>
      <c r="C921" s="327"/>
      <c r="D921" s="327"/>
      <c r="E921" s="327"/>
      <c r="F921" s="327"/>
      <c r="G921" s="327"/>
      <c r="H921" s="328"/>
    </row>
    <row r="922" spans="1:9">
      <c r="A922" s="73">
        <f>'PLANILHA ORÇAMENTARIA'!A142</f>
        <v>16</v>
      </c>
      <c r="B922" s="112"/>
      <c r="C922" s="112"/>
      <c r="D922" s="112" t="s">
        <v>60</v>
      </c>
      <c r="E922" s="112"/>
      <c r="F922" s="112"/>
      <c r="G922" s="112"/>
      <c r="H922" s="113"/>
    </row>
    <row r="923" spans="1:9" ht="29.25" customHeight="1">
      <c r="A923" s="335" t="str">
        <f>'PLANILHA ORÇAMENTARIA'!A143</f>
        <v>16.1</v>
      </c>
      <c r="B923" s="110" t="str">
        <f>'PLANILHA ORÇAMENTARIA'!B143</f>
        <v>INST-INT-005</v>
      </c>
      <c r="C923" s="93" t="str">
        <f>'PLANILHA ORÇAMENTARIA'!C143</f>
        <v>SETOP</v>
      </c>
      <c r="D923" s="318" t="str">
        <f>'PLANILHA ORÇAMENTARIA'!D143</f>
        <v>Ponto de interruptor, incluindo eletroduto de pvc rígido e caixa com espelho</v>
      </c>
      <c r="E923" s="318"/>
      <c r="F923" s="318"/>
      <c r="G923" s="91" t="str">
        <f>'PLANILHA ORÇAMENTARIA'!E143</f>
        <v>un.</v>
      </c>
      <c r="H923" s="94">
        <f>H925</f>
        <v>15</v>
      </c>
    </row>
    <row r="924" spans="1:9">
      <c r="A924" s="336"/>
      <c r="B924" s="100" t="s">
        <v>425</v>
      </c>
      <c r="C924" s="314" t="s">
        <v>579</v>
      </c>
      <c r="D924" s="314"/>
      <c r="E924" s="314"/>
      <c r="F924" s="314"/>
      <c r="G924" s="314"/>
      <c r="H924" s="101">
        <v>15</v>
      </c>
    </row>
    <row r="925" spans="1:9">
      <c r="A925" s="337"/>
      <c r="B925" s="87"/>
      <c r="C925" s="319" t="s">
        <v>177</v>
      </c>
      <c r="D925" s="319"/>
      <c r="E925" s="319"/>
      <c r="F925" s="319"/>
      <c r="G925" s="319"/>
      <c r="H925" s="96">
        <f>SUM(H924:H924)</f>
        <v>15</v>
      </c>
    </row>
    <row r="926" spans="1:9">
      <c r="A926" s="335" t="str">
        <f>'PLANILHA ORÇAMENTARIA'!A144</f>
        <v>16.2</v>
      </c>
      <c r="B926" s="92" t="str">
        <f>'PLANILHA ORÇAMENTARIA'!B144</f>
        <v>INST-LUZ-005</v>
      </c>
      <c r="C926" s="93" t="str">
        <f>'PLANILHA ORÇAMENTARIA'!C144</f>
        <v>SETOP</v>
      </c>
      <c r="D926" s="318" t="str">
        <f>'PLANILHA ORÇAMENTARIA'!D144</f>
        <v>Ponto de luz embutido, incluindo eletroduto de pvc rígido e caixa com espelho (por unidade)</v>
      </c>
      <c r="E926" s="318"/>
      <c r="F926" s="318"/>
      <c r="G926" s="91" t="str">
        <f>'PLANILHA ORÇAMENTARIA'!E144</f>
        <v>un.</v>
      </c>
      <c r="H926" s="94">
        <f>H928</f>
        <v>15</v>
      </c>
      <c r="I926" s="28"/>
    </row>
    <row r="927" spans="1:9">
      <c r="A927" s="336"/>
      <c r="B927" s="100" t="s">
        <v>425</v>
      </c>
      <c r="C927" s="314" t="s">
        <v>579</v>
      </c>
      <c r="D927" s="314"/>
      <c r="E927" s="314"/>
      <c r="F927" s="314"/>
      <c r="G927" s="314"/>
      <c r="H927" s="95">
        <v>15</v>
      </c>
    </row>
    <row r="928" spans="1:9">
      <c r="A928" s="337"/>
      <c r="B928" s="87"/>
      <c r="C928" s="319" t="s">
        <v>177</v>
      </c>
      <c r="D928" s="319"/>
      <c r="E928" s="319"/>
      <c r="F928" s="319"/>
      <c r="G928" s="319"/>
      <c r="H928" s="96">
        <f>SUM(H927:H927)</f>
        <v>15</v>
      </c>
    </row>
    <row r="929" spans="1:8">
      <c r="A929" s="335" t="str">
        <f>'PLANILHA ORÇAMENTARIA'!A145</f>
        <v>16.3</v>
      </c>
      <c r="B929" s="92" t="str">
        <f>'PLANILHA ORÇAMENTARIA'!B145</f>
        <v>INST-TOM-005</v>
      </c>
      <c r="C929" s="93" t="str">
        <f>'PLANILHA ORÇAMENTARIA'!C145</f>
        <v>SETOP</v>
      </c>
      <c r="D929" s="318" t="str">
        <f>'PLANILHA ORÇAMENTARIA'!D145</f>
        <v>Ponto de tomada de embutir, incluindo eletroduto de pvc rígido e caixa com espelho</v>
      </c>
      <c r="E929" s="318"/>
      <c r="F929" s="318"/>
      <c r="G929" s="91" t="str">
        <f>'PLANILHA ORÇAMENTARIA'!E145</f>
        <v>un.</v>
      </c>
      <c r="H929" s="94">
        <f>H931</f>
        <v>15</v>
      </c>
    </row>
    <row r="930" spans="1:8">
      <c r="A930" s="336"/>
      <c r="B930" s="100" t="s">
        <v>425</v>
      </c>
      <c r="C930" s="314" t="s">
        <v>579</v>
      </c>
      <c r="D930" s="314"/>
      <c r="E930" s="314"/>
      <c r="F930" s="314"/>
      <c r="G930" s="314"/>
      <c r="H930" s="95">
        <v>15</v>
      </c>
    </row>
    <row r="931" spans="1:8">
      <c r="A931" s="337"/>
      <c r="B931" s="87"/>
      <c r="C931" s="319" t="s">
        <v>177</v>
      </c>
      <c r="D931" s="319"/>
      <c r="E931" s="319"/>
      <c r="F931" s="319"/>
      <c r="G931" s="319"/>
      <c r="H931" s="96">
        <f>SUM(H930:H930)</f>
        <v>15</v>
      </c>
    </row>
    <row r="932" spans="1:8">
      <c r="A932" s="326"/>
      <c r="B932" s="327"/>
      <c r="C932" s="327"/>
      <c r="D932" s="327"/>
      <c r="E932" s="327"/>
      <c r="F932" s="327"/>
      <c r="G932" s="327"/>
      <c r="H932" s="328"/>
    </row>
    <row r="933" spans="1:8">
      <c r="A933" s="73">
        <f>'PLANILHA ORÇAMENTARIA'!A147</f>
        <v>17</v>
      </c>
      <c r="B933" s="112"/>
      <c r="C933" s="112"/>
      <c r="D933" s="112" t="s">
        <v>61</v>
      </c>
      <c r="E933" s="112"/>
      <c r="F933" s="112"/>
      <c r="G933" s="112"/>
      <c r="H933" s="113"/>
    </row>
    <row r="934" spans="1:8">
      <c r="A934" s="332" t="str">
        <f>'PLANILHA ORÇAMENTARIA'!A148</f>
        <v>17.1</v>
      </c>
      <c r="B934" s="110" t="str">
        <f>'PLANILHA ORÇAMENTARIA'!B148</f>
        <v>PEI-GRA-005</v>
      </c>
      <c r="C934" s="111" t="str">
        <f>'PLANILHA ORÇAMENTARIA'!C148</f>
        <v>SETOP</v>
      </c>
      <c r="D934" s="318" t="str">
        <f>'PLANILHA ORÇAMENTARIA'!D148</f>
        <v>Peitoril de granito cinza andorinha e = 2 cm</v>
      </c>
      <c r="E934" s="318"/>
      <c r="F934" s="318"/>
      <c r="G934" s="91" t="str">
        <f>'PLANILHA ORÇAMENTARIA'!E148</f>
        <v>m²</v>
      </c>
      <c r="H934" s="94">
        <f>H940</f>
        <v>1.1099999999999999</v>
      </c>
    </row>
    <row r="935" spans="1:8">
      <c r="A935" s="333"/>
      <c r="B935" s="100" t="s">
        <v>459</v>
      </c>
      <c r="C935" s="314" t="s">
        <v>548</v>
      </c>
      <c r="D935" s="314"/>
      <c r="E935" s="314"/>
      <c r="F935" s="314"/>
      <c r="G935" s="314"/>
      <c r="H935" s="101">
        <f>1*0.15</f>
        <v>0.15</v>
      </c>
    </row>
    <row r="936" spans="1:8">
      <c r="A936" s="333"/>
      <c r="B936" s="100" t="s">
        <v>418</v>
      </c>
      <c r="C936" s="314" t="s">
        <v>763</v>
      </c>
      <c r="D936" s="314"/>
      <c r="E936" s="314"/>
      <c r="F936" s="314"/>
      <c r="G936" s="314"/>
      <c r="H936" s="101">
        <f>2.05*0.15</f>
        <v>0.30749999999999994</v>
      </c>
    </row>
    <row r="937" spans="1:8">
      <c r="A937" s="333"/>
      <c r="B937" s="100" t="s">
        <v>640</v>
      </c>
      <c r="C937" s="314" t="s">
        <v>764</v>
      </c>
      <c r="D937" s="314"/>
      <c r="E937" s="314"/>
      <c r="F937" s="314"/>
      <c r="G937" s="314"/>
      <c r="H937" s="101">
        <f>1.4*0.15</f>
        <v>0.21</v>
      </c>
    </row>
    <row r="938" spans="1:8">
      <c r="A938" s="333"/>
      <c r="B938" s="100" t="s">
        <v>641</v>
      </c>
      <c r="C938" s="314" t="s">
        <v>765</v>
      </c>
      <c r="D938" s="314"/>
      <c r="E938" s="314"/>
      <c r="F938" s="314"/>
      <c r="G938" s="314"/>
      <c r="H938" s="101">
        <f>1.95*0.15</f>
        <v>0.29249999999999998</v>
      </c>
    </row>
    <row r="939" spans="1:8">
      <c r="A939" s="333"/>
      <c r="B939" s="100" t="s">
        <v>506</v>
      </c>
      <c r="C939" s="314" t="s">
        <v>548</v>
      </c>
      <c r="D939" s="314"/>
      <c r="E939" s="314"/>
      <c r="F939" s="314"/>
      <c r="G939" s="314"/>
      <c r="H939" s="101">
        <f>1*0.15</f>
        <v>0.15</v>
      </c>
    </row>
    <row r="940" spans="1:8">
      <c r="A940" s="334"/>
      <c r="B940" s="109"/>
      <c r="C940" s="319" t="s">
        <v>177</v>
      </c>
      <c r="D940" s="319"/>
      <c r="E940" s="319"/>
      <c r="F940" s="319"/>
      <c r="G940" s="319"/>
      <c r="H940" s="96">
        <f>SUM(H935:H939)</f>
        <v>1.1099999999999999</v>
      </c>
    </row>
    <row r="941" spans="1:8">
      <c r="A941" s="332" t="str">
        <f>'PLANILHA ORÇAMENTARIA'!A149</f>
        <v>17.2</v>
      </c>
      <c r="B941" s="110" t="str">
        <f>'PLANILHA ORÇAMENTARIA'!B149</f>
        <v>BAN-GRA-010</v>
      </c>
      <c r="C941" s="111" t="str">
        <f>'PLANILHA ORÇAMENTARIA'!C149</f>
        <v>SETOP</v>
      </c>
      <c r="D941" s="318" t="str">
        <f>'PLANILHA ORÇAMENTARIA'!D149</f>
        <v>Bancada em granito cinza andorinha e = 3 cm, apoiada em alvenaria</v>
      </c>
      <c r="E941" s="318"/>
      <c r="F941" s="318"/>
      <c r="G941" s="91" t="str">
        <f>'PLANILHA ORÇAMENTARIA'!E149</f>
        <v>m²</v>
      </c>
      <c r="H941" s="94">
        <f>H950</f>
        <v>15.6815</v>
      </c>
    </row>
    <row r="942" spans="1:8">
      <c r="A942" s="333"/>
      <c r="B942" s="165" t="s">
        <v>435</v>
      </c>
      <c r="C942" s="323" t="s">
        <v>776</v>
      </c>
      <c r="D942" s="323"/>
      <c r="E942" s="323"/>
      <c r="F942" s="323"/>
      <c r="G942" s="323"/>
      <c r="H942" s="101">
        <f>2.5*0.6</f>
        <v>1.5</v>
      </c>
    </row>
    <row r="943" spans="1:8">
      <c r="A943" s="333"/>
      <c r="B943" s="165" t="s">
        <v>455</v>
      </c>
      <c r="C943" s="323" t="s">
        <v>777</v>
      </c>
      <c r="D943" s="323"/>
      <c r="E943" s="323"/>
      <c r="F943" s="323"/>
      <c r="G943" s="323"/>
      <c r="H943" s="101">
        <f>0.79*0.55</f>
        <v>0.43450000000000005</v>
      </c>
    </row>
    <row r="944" spans="1:8">
      <c r="A944" s="333"/>
      <c r="B944" s="165" t="s">
        <v>439</v>
      </c>
      <c r="C944" s="323" t="s">
        <v>777</v>
      </c>
      <c r="D944" s="323"/>
      <c r="E944" s="323"/>
      <c r="F944" s="323"/>
      <c r="G944" s="323"/>
      <c r="H944" s="101">
        <f>0.79*0.55</f>
        <v>0.43450000000000005</v>
      </c>
    </row>
    <row r="945" spans="1:8">
      <c r="A945" s="333"/>
      <c r="B945" s="165" t="s">
        <v>778</v>
      </c>
      <c r="C945" s="323" t="s">
        <v>779</v>
      </c>
      <c r="D945" s="323"/>
      <c r="E945" s="323"/>
      <c r="F945" s="323"/>
      <c r="G945" s="323"/>
      <c r="H945" s="101">
        <f>(4.9+2.55)*0.6</f>
        <v>4.47</v>
      </c>
    </row>
    <row r="946" spans="1:8">
      <c r="A946" s="333"/>
      <c r="B946" s="165" t="s">
        <v>396</v>
      </c>
      <c r="C946" s="323" t="s">
        <v>780</v>
      </c>
      <c r="D946" s="323"/>
      <c r="E946" s="323"/>
      <c r="F946" s="323"/>
      <c r="G946" s="323"/>
      <c r="H946" s="101">
        <f>2*0.8</f>
        <v>1.6</v>
      </c>
    </row>
    <row r="947" spans="1:8">
      <c r="A947" s="333"/>
      <c r="B947" s="165" t="s">
        <v>396</v>
      </c>
      <c r="C947" s="323" t="s">
        <v>781</v>
      </c>
      <c r="D947" s="323"/>
      <c r="E947" s="323"/>
      <c r="F947" s="323"/>
      <c r="G947" s="323"/>
      <c r="H947" s="101">
        <f>2*0.8</f>
        <v>1.6</v>
      </c>
    </row>
    <row r="948" spans="1:8">
      <c r="A948" s="333"/>
      <c r="B948" s="165" t="s">
        <v>396</v>
      </c>
      <c r="C948" s="323" t="s">
        <v>782</v>
      </c>
      <c r="D948" s="323"/>
      <c r="E948" s="323"/>
      <c r="F948" s="323"/>
      <c r="G948" s="323"/>
      <c r="H948" s="101">
        <f>((3+2.55+1.05+1.05+0.4)*0.6)+(1.2*0.8)</f>
        <v>5.7899999999999991</v>
      </c>
    </row>
    <row r="949" spans="1:8">
      <c r="A949" s="333"/>
      <c r="B949" s="165" t="s">
        <v>457</v>
      </c>
      <c r="C949" s="323" t="s">
        <v>783</v>
      </c>
      <c r="D949" s="323"/>
      <c r="E949" s="323"/>
      <c r="F949" s="323"/>
      <c r="G949" s="323"/>
      <c r="H949" s="101">
        <f>(1.35*0.68)+(0.55*0.79)</f>
        <v>1.3525000000000003</v>
      </c>
    </row>
    <row r="950" spans="1:8">
      <c r="A950" s="334"/>
      <c r="B950" s="87"/>
      <c r="C950" s="319" t="s">
        <v>177</v>
      </c>
      <c r="D950" s="319"/>
      <c r="E950" s="319"/>
      <c r="F950" s="319"/>
      <c r="G950" s="319"/>
      <c r="H950" s="96">
        <f>SUM(H943:H949)</f>
        <v>15.6815</v>
      </c>
    </row>
    <row r="951" spans="1:8">
      <c r="A951" s="320" t="str">
        <f>'PLANILHA ORÇAMENTARIA'!A150</f>
        <v>17.3</v>
      </c>
      <c r="B951" s="110" t="str">
        <f>'PLANILHA ORÇAMENTARIA'!B150</f>
        <v>PRA-GRA-010</v>
      </c>
      <c r="C951" s="111" t="str">
        <f>'PLANILHA ORÇAMENTARIA'!C150</f>
        <v>SETOP</v>
      </c>
      <c r="D951" s="318" t="str">
        <f>'PLANILHA ORÇAMENTARIA'!D150</f>
        <v>Prateleira de granito cinza andorinha, e = 2 cm, apoiada em console de metalon 20 x 30 mm</v>
      </c>
      <c r="E951" s="318"/>
      <c r="F951" s="318"/>
      <c r="G951" s="91" t="str">
        <f>'PLANILHA ORÇAMENTARIA'!E150</f>
        <v>m²</v>
      </c>
      <c r="H951" s="94">
        <f>H954</f>
        <v>12.375</v>
      </c>
    </row>
    <row r="952" spans="1:8">
      <c r="A952" s="321"/>
      <c r="B952" s="100" t="s">
        <v>654</v>
      </c>
      <c r="C952" s="314" t="s">
        <v>793</v>
      </c>
      <c r="D952" s="314"/>
      <c r="E952" s="314"/>
      <c r="F952" s="314"/>
      <c r="G952" s="314"/>
      <c r="H952" s="101">
        <f>(1.5*0.3*5)+(1.25*0.5*5)</f>
        <v>5.375</v>
      </c>
    </row>
    <row r="953" spans="1:8">
      <c r="A953" s="321"/>
      <c r="B953" s="100" t="s">
        <v>507</v>
      </c>
      <c r="C953" s="314" t="s">
        <v>762</v>
      </c>
      <c r="D953" s="314"/>
      <c r="E953" s="314"/>
      <c r="F953" s="314"/>
      <c r="G953" s="314"/>
      <c r="H953" s="95">
        <f>(1.4*0.5*10)</f>
        <v>7</v>
      </c>
    </row>
    <row r="954" spans="1:8">
      <c r="A954" s="322"/>
      <c r="B954" s="109"/>
      <c r="C954" s="325" t="s">
        <v>177</v>
      </c>
      <c r="D954" s="325"/>
      <c r="E954" s="325"/>
      <c r="F954" s="325"/>
      <c r="G954" s="325"/>
      <c r="H954" s="149">
        <f>SUM(H952:H953)</f>
        <v>12.375</v>
      </c>
    </row>
    <row r="955" spans="1:8">
      <c r="A955" s="347" t="str">
        <f>'PLANILHA ORÇAMENTARIA'!A151</f>
        <v>17.4</v>
      </c>
      <c r="B955" s="150" t="s">
        <v>224</v>
      </c>
      <c r="C955" s="151" t="s">
        <v>12</v>
      </c>
      <c r="D955" s="318" t="str">
        <f>'PLANILHA ORÇAMENTARIA'!D151</f>
        <v>Divisória em granito cinza andorinha, e = 3 cm, inclusive ferragens em latão cromado</v>
      </c>
      <c r="E955" s="318"/>
      <c r="F955" s="318"/>
      <c r="G955" s="91" t="str">
        <f>'PLANILHA ORÇAMENTARIA'!E151</f>
        <v>m²</v>
      </c>
      <c r="H955" s="94">
        <f>H959</f>
        <v>9.0240000000000009</v>
      </c>
    </row>
    <row r="956" spans="1:8">
      <c r="A956" s="347"/>
      <c r="B956" s="152" t="s">
        <v>439</v>
      </c>
      <c r="C956" s="314" t="s">
        <v>577</v>
      </c>
      <c r="D956" s="314"/>
      <c r="E956" s="314"/>
      <c r="F956" s="314"/>
      <c r="G956" s="314"/>
      <c r="H956" s="101">
        <f>(((1.2+0.86)*1.2)+(1.2*2))-(0.6*1.2)</f>
        <v>4.1520000000000001</v>
      </c>
    </row>
    <row r="957" spans="1:8">
      <c r="A957" s="347"/>
      <c r="B957" s="152" t="s">
        <v>455</v>
      </c>
      <c r="C957" s="314" t="s">
        <v>577</v>
      </c>
      <c r="D957" s="314"/>
      <c r="E957" s="314"/>
      <c r="F957" s="314"/>
      <c r="G957" s="314"/>
      <c r="H957" s="101">
        <f>(((1.2+0.86)*1.2)+(1.2*2))-(0.6*1.2)</f>
        <v>4.1520000000000001</v>
      </c>
    </row>
    <row r="958" spans="1:8">
      <c r="A958" s="347"/>
      <c r="B958" s="152" t="s">
        <v>457</v>
      </c>
      <c r="C958" s="314" t="s">
        <v>578</v>
      </c>
      <c r="D958" s="314"/>
      <c r="E958" s="314"/>
      <c r="F958" s="314"/>
      <c r="G958" s="314"/>
      <c r="H958" s="95">
        <f>(0.6*1.2)</f>
        <v>0.72</v>
      </c>
    </row>
    <row r="959" spans="1:8">
      <c r="A959" s="347"/>
      <c r="B959" s="109"/>
      <c r="C959" s="319" t="s">
        <v>177</v>
      </c>
      <c r="D959" s="319"/>
      <c r="E959" s="319"/>
      <c r="F959" s="319"/>
      <c r="G959" s="319"/>
      <c r="H959" s="96">
        <f>SUM(H956:H958)</f>
        <v>9.0240000000000009</v>
      </c>
    </row>
    <row r="960" spans="1:8">
      <c r="A960" s="332" t="str">
        <f>'PLANILHA ORÇAMENTARIA'!A152</f>
        <v>17.5</v>
      </c>
      <c r="B960" s="159" t="s">
        <v>229</v>
      </c>
      <c r="C960" s="111" t="s">
        <v>230</v>
      </c>
      <c r="D960" s="318" t="str">
        <f>'PLANILHA ORÇAMENTARIA'!D152</f>
        <v>Bebedouro empresárial BDF300 IBBL/Equivalente (ACESSIVEL)</v>
      </c>
      <c r="E960" s="318"/>
      <c r="F960" s="318"/>
      <c r="G960" s="91" t="str">
        <f>'PLANILHA ORÇAMENTARIA'!E152</f>
        <v>un.</v>
      </c>
      <c r="H960" s="94">
        <f>H963</f>
        <v>2</v>
      </c>
    </row>
    <row r="961" spans="1:8">
      <c r="A961" s="333"/>
      <c r="B961" s="100" t="s">
        <v>461</v>
      </c>
      <c r="C961" s="314" t="s">
        <v>397</v>
      </c>
      <c r="D961" s="314"/>
      <c r="E961" s="314"/>
      <c r="F961" s="314"/>
      <c r="G961" s="314"/>
      <c r="H961" s="95">
        <v>1</v>
      </c>
    </row>
    <row r="962" spans="1:8">
      <c r="A962" s="321"/>
      <c r="B962" s="100" t="s">
        <v>456</v>
      </c>
      <c r="C962" s="314" t="s">
        <v>397</v>
      </c>
      <c r="D962" s="314"/>
      <c r="E962" s="314"/>
      <c r="F962" s="314"/>
      <c r="G962" s="314"/>
      <c r="H962" s="95">
        <v>1</v>
      </c>
    </row>
    <row r="963" spans="1:8">
      <c r="A963" s="322"/>
      <c r="B963" s="109"/>
      <c r="C963" s="325" t="s">
        <v>177</v>
      </c>
      <c r="D963" s="325"/>
      <c r="E963" s="325"/>
      <c r="F963" s="325"/>
      <c r="G963" s="325"/>
      <c r="H963" s="149">
        <f>SUM(H961:H962)</f>
        <v>2</v>
      </c>
    </row>
    <row r="964" spans="1:8">
      <c r="A964" s="332" t="str">
        <f>'PLANILHA ORÇAMENTARIA'!A153</f>
        <v>17.6</v>
      </c>
      <c r="B964" s="177" t="s">
        <v>258</v>
      </c>
      <c r="C964" s="176" t="s">
        <v>181</v>
      </c>
      <c r="D964" s="318" t="str">
        <f>'PLANILHA ORÇAMENTARIA'!D153</f>
        <v>Bebedouro industrial suspenso, inox, 200l</v>
      </c>
      <c r="E964" s="318"/>
      <c r="F964" s="318"/>
      <c r="G964" s="91" t="str">
        <f>'PLANILHA ORÇAMENTARIA'!E153</f>
        <v>un.</v>
      </c>
      <c r="H964" s="94">
        <f>H967</f>
        <v>2</v>
      </c>
    </row>
    <row r="965" spans="1:8">
      <c r="A965" s="333"/>
      <c r="B965" s="100" t="s">
        <v>461</v>
      </c>
      <c r="C965" s="314" t="s">
        <v>397</v>
      </c>
      <c r="D965" s="314"/>
      <c r="E965" s="314"/>
      <c r="F965" s="314"/>
      <c r="G965" s="314"/>
      <c r="H965" s="95">
        <v>1</v>
      </c>
    </row>
    <row r="966" spans="1:8">
      <c r="A966" s="321"/>
      <c r="B966" s="100" t="s">
        <v>456</v>
      </c>
      <c r="C966" s="314" t="s">
        <v>397</v>
      </c>
      <c r="D966" s="314"/>
      <c r="E966" s="314"/>
      <c r="F966" s="314"/>
      <c r="G966" s="314"/>
      <c r="H966" s="95">
        <v>1</v>
      </c>
    </row>
    <row r="967" spans="1:8">
      <c r="A967" s="322"/>
      <c r="B967" s="109"/>
      <c r="C967" s="325" t="s">
        <v>177</v>
      </c>
      <c r="D967" s="325"/>
      <c r="E967" s="325"/>
      <c r="F967" s="325"/>
      <c r="G967" s="325"/>
      <c r="H967" s="149">
        <f>SUM(H965:H966)</f>
        <v>2</v>
      </c>
    </row>
    <row r="968" spans="1:8">
      <c r="A968" s="332" t="str">
        <f>'PLANILHA ORÇAMENTARIA'!A154</f>
        <v>17.7</v>
      </c>
      <c r="B968" s="177" t="str">
        <f>'PLANILHA ORÇAMENTARIA'!B154</f>
        <v>C4294</v>
      </c>
      <c r="C968" s="176" t="s">
        <v>13</v>
      </c>
      <c r="D968" s="318" t="str">
        <f>'PLANILHA ORÇAMENTARIA'!D154</f>
        <v>Forro de gesso acartonado estruturado com alçapão de visita - fornecimento e montagem</v>
      </c>
      <c r="E968" s="318"/>
      <c r="F968" s="318"/>
      <c r="G968" s="91" t="str">
        <f>'PLANILHA ORÇAMENTARIA'!E154</f>
        <v>m²</v>
      </c>
      <c r="H968" s="94">
        <f>H970</f>
        <v>5.5</v>
      </c>
    </row>
    <row r="969" spans="1:8">
      <c r="A969" s="333"/>
      <c r="B969" s="100" t="s">
        <v>396</v>
      </c>
      <c r="C969" s="314" t="s">
        <v>427</v>
      </c>
      <c r="D969" s="314"/>
      <c r="E969" s="314"/>
      <c r="F969" s="314"/>
      <c r="G969" s="314"/>
      <c r="H969" s="101">
        <v>5.5</v>
      </c>
    </row>
    <row r="970" spans="1:8">
      <c r="A970" s="322"/>
      <c r="B970" s="109"/>
      <c r="C970" s="325" t="s">
        <v>177</v>
      </c>
      <c r="D970" s="325"/>
      <c r="E970" s="325"/>
      <c r="F970" s="325"/>
      <c r="G970" s="325"/>
      <c r="H970" s="149">
        <f>SUM(H969:H969)</f>
        <v>5.5</v>
      </c>
    </row>
    <row r="971" spans="1:8">
      <c r="A971" s="332" t="str">
        <f>'PLANILHA ORÇAMENTARIA'!A155</f>
        <v>17.8</v>
      </c>
      <c r="B971" s="190" t="str">
        <f>'PLANILHA ORÇAMENTARIA'!B155</f>
        <v>PEI-GRA-005</v>
      </c>
      <c r="C971" s="176" t="s">
        <v>12</v>
      </c>
      <c r="D971" s="318" t="str">
        <f>'PLANILHA ORÇAMENTARIA'!D155</f>
        <v>Roda meio em granito cinza andorinha e = 2 cm</v>
      </c>
      <c r="E971" s="318"/>
      <c r="F971" s="318"/>
      <c r="G971" s="91" t="str">
        <f>'PLANILHA ORÇAMENTARIA'!E155</f>
        <v>m²</v>
      </c>
      <c r="H971" s="94">
        <f>H996</f>
        <v>46.170000000000009</v>
      </c>
    </row>
    <row r="972" spans="1:8">
      <c r="A972" s="333"/>
      <c r="B972" s="100" t="s">
        <v>428</v>
      </c>
      <c r="C972" s="324" t="s">
        <v>737</v>
      </c>
      <c r="D972" s="324"/>
      <c r="E972" s="324"/>
      <c r="F972" s="324"/>
      <c r="G972" s="324"/>
      <c r="H972" s="95">
        <f>((6.5+6.15+6.5+6.15)*0.1)-((0.8*0.1)+(6*0.1))</f>
        <v>1.8499999999999996</v>
      </c>
    </row>
    <row r="973" spans="1:8">
      <c r="A973" s="333"/>
      <c r="B973" s="100" t="s">
        <v>430</v>
      </c>
      <c r="C973" s="324" t="s">
        <v>737</v>
      </c>
      <c r="D973" s="324"/>
      <c r="E973" s="324"/>
      <c r="F973" s="324"/>
      <c r="G973" s="324"/>
      <c r="H973" s="95">
        <f>((6.5+6.15+6.5+6.15)*0.1)-((0.8*0.1)+(6*0.1))</f>
        <v>1.8499999999999996</v>
      </c>
    </row>
    <row r="974" spans="1:8">
      <c r="A974" s="333"/>
      <c r="B974" s="100" t="s">
        <v>431</v>
      </c>
      <c r="C974" s="324" t="s">
        <v>738</v>
      </c>
      <c r="D974" s="324"/>
      <c r="E974" s="324"/>
      <c r="F974" s="324"/>
      <c r="G974" s="324"/>
      <c r="H974" s="95">
        <f>((7.35+6.15+7.35+6.15)*0.1)-((0.8*0.1)+(6*0.1))</f>
        <v>2.02</v>
      </c>
    </row>
    <row r="975" spans="1:8">
      <c r="A975" s="333"/>
      <c r="B975" s="100" t="s">
        <v>411</v>
      </c>
      <c r="C975" s="324" t="s">
        <v>739</v>
      </c>
      <c r="D975" s="324"/>
      <c r="E975" s="324"/>
      <c r="F975" s="324"/>
      <c r="G975" s="324"/>
      <c r="H975" s="95">
        <f>((5.5+6.15+5.5+6.15)*0.1)-((0.8*0.1)+(3*0.1))</f>
        <v>1.9499999999999995</v>
      </c>
    </row>
    <row r="976" spans="1:8">
      <c r="A976" s="333"/>
      <c r="B976" s="100" t="s">
        <v>414</v>
      </c>
      <c r="C976" s="324" t="s">
        <v>737</v>
      </c>
      <c r="D976" s="324"/>
      <c r="E976" s="324"/>
      <c r="F976" s="324"/>
      <c r="G976" s="324"/>
      <c r="H976" s="95">
        <f>((6.5+6.15+6.5+6.15)*0.1)-((0.8*0.1)+(6*0.1))</f>
        <v>1.8499999999999996</v>
      </c>
    </row>
    <row r="977" spans="1:8">
      <c r="A977" s="333"/>
      <c r="B977" s="100" t="s">
        <v>432</v>
      </c>
      <c r="C977" s="324" t="s">
        <v>740</v>
      </c>
      <c r="D977" s="324"/>
      <c r="E977" s="324"/>
      <c r="F977" s="324"/>
      <c r="G977" s="324"/>
      <c r="H977" s="95">
        <f>((6.5+6.1+6.5+6.1)*0.1)-((0.8*0.1)+(6*0.1))</f>
        <v>1.8400000000000003</v>
      </c>
    </row>
    <row r="978" spans="1:8">
      <c r="A978" s="333"/>
      <c r="B978" s="100" t="s">
        <v>413</v>
      </c>
      <c r="C978" s="324" t="s">
        <v>740</v>
      </c>
      <c r="D978" s="324"/>
      <c r="E978" s="324"/>
      <c r="F978" s="324"/>
      <c r="G978" s="324"/>
      <c r="H978" s="95">
        <f>((6.5+6.1+6.5+6.1)*0.1)-((0.8*0.1)+(6*0.1))</f>
        <v>1.8400000000000003</v>
      </c>
    </row>
    <row r="979" spans="1:8">
      <c r="A979" s="333"/>
      <c r="B979" s="100" t="s">
        <v>433</v>
      </c>
      <c r="C979" s="324" t="s">
        <v>740</v>
      </c>
      <c r="D979" s="324"/>
      <c r="E979" s="324"/>
      <c r="F979" s="324"/>
      <c r="G979" s="324"/>
      <c r="H979" s="95">
        <f>((6.5+6.1+6.5+6.1)*0.1)-((0.8*0.1)+(6*0.1))</f>
        <v>1.8400000000000003</v>
      </c>
    </row>
    <row r="980" spans="1:8">
      <c r="A980" s="333"/>
      <c r="B980" s="100" t="s">
        <v>429</v>
      </c>
      <c r="C980" s="324" t="s">
        <v>740</v>
      </c>
      <c r="D980" s="324"/>
      <c r="E980" s="324"/>
      <c r="F980" s="324"/>
      <c r="G980" s="324"/>
      <c r="H980" s="95">
        <f>((6.5+6.1+6.5+6.1)*0.1)-((0.8*0.1)+(6*0.1))</f>
        <v>1.8400000000000003</v>
      </c>
    </row>
    <row r="981" spans="1:8">
      <c r="A981" s="333"/>
      <c r="B981" s="100" t="s">
        <v>426</v>
      </c>
      <c r="C981" s="324" t="s">
        <v>741</v>
      </c>
      <c r="D981" s="324"/>
      <c r="E981" s="324"/>
      <c r="F981" s="324"/>
      <c r="G981" s="324"/>
      <c r="H981" s="95">
        <f>((5.35+4.45+5.35+4.45)*0.1)-((0.8*0.1)+(4.3*0.1))</f>
        <v>1.4500000000000002</v>
      </c>
    </row>
    <row r="982" spans="1:8">
      <c r="A982" s="333"/>
      <c r="B982" s="100" t="s">
        <v>434</v>
      </c>
      <c r="C982" s="324" t="s">
        <v>742</v>
      </c>
      <c r="D982" s="324"/>
      <c r="E982" s="324"/>
      <c r="F982" s="324"/>
      <c r="G982" s="324"/>
      <c r="H982" s="95">
        <f>((3+6.15+3+6.15)*0.1)-((1*0.1)+(2.9*0.1))</f>
        <v>1.44</v>
      </c>
    </row>
    <row r="983" spans="1:8" ht="30" customHeight="1">
      <c r="A983" s="333"/>
      <c r="B983" s="100" t="s">
        <v>435</v>
      </c>
      <c r="C983" s="324" t="s">
        <v>743</v>
      </c>
      <c r="D983" s="324"/>
      <c r="E983" s="324"/>
      <c r="F983" s="324"/>
      <c r="G983" s="324"/>
      <c r="H983" s="95">
        <f>((3+6+6+4.17+3+1.83+3)*0.1)-((0.8*0.1*3)+(2.8*0.1))</f>
        <v>2.1800000000000002</v>
      </c>
    </row>
    <row r="984" spans="1:8" ht="30" customHeight="1">
      <c r="A984" s="333"/>
      <c r="B984" s="100" t="s">
        <v>453</v>
      </c>
      <c r="C984" s="324" t="s">
        <v>744</v>
      </c>
      <c r="D984" s="324"/>
      <c r="E984" s="324"/>
      <c r="F984" s="324"/>
      <c r="G984" s="324"/>
      <c r="H984" s="95">
        <f>((6.15+6.15+5.05+5.05)*0.1)+((0.8*0.1*2)+(3*0.1*2))</f>
        <v>3.0000000000000004</v>
      </c>
    </row>
    <row r="985" spans="1:8" ht="33" customHeight="1">
      <c r="A985" s="333"/>
      <c r="B985" s="100" t="s">
        <v>456</v>
      </c>
      <c r="C985" s="324" t="s">
        <v>745</v>
      </c>
      <c r="D985" s="324"/>
      <c r="E985" s="324"/>
      <c r="F985" s="324"/>
      <c r="G985" s="324"/>
      <c r="H985" s="95">
        <f>((11.2+5.5+11.2+5.5)*0.1)-((0.8*0.1*8)+(1*0.1)+(3.65*0.1)+(1*0.1*2)+(3*0.1)+(1.93*0.1))</f>
        <v>1.5419999999999998</v>
      </c>
    </row>
    <row r="986" spans="1:8" ht="28.5" customHeight="1">
      <c r="A986" s="333"/>
      <c r="B986" s="100" t="s">
        <v>436</v>
      </c>
      <c r="C986" s="324" t="s">
        <v>746</v>
      </c>
      <c r="D986" s="324"/>
      <c r="E986" s="324"/>
      <c r="F986" s="324"/>
      <c r="G986" s="324"/>
      <c r="H986" s="95">
        <f>((5.9+6+3.25+8.8+2.93)*0.1)-((0.8*0.1)+((1.9+2.4)*0.1))</f>
        <v>2.1780000000000008</v>
      </c>
    </row>
    <row r="987" spans="1:8">
      <c r="A987" s="333"/>
      <c r="B987" s="100" t="s">
        <v>437</v>
      </c>
      <c r="C987" s="324" t="s">
        <v>747</v>
      </c>
      <c r="D987" s="324"/>
      <c r="E987" s="324"/>
      <c r="F987" s="324"/>
      <c r="G987" s="324"/>
      <c r="H987" s="95">
        <f>((6+5.05+6+5.05)*0.1)-((0.8*0.1*2)+(3*0.1))</f>
        <v>1.7500000000000004</v>
      </c>
    </row>
    <row r="988" spans="1:8">
      <c r="A988" s="333"/>
      <c r="B988" s="100" t="s">
        <v>417</v>
      </c>
      <c r="C988" s="324" t="s">
        <v>748</v>
      </c>
      <c r="D988" s="324"/>
      <c r="E988" s="324"/>
      <c r="F988" s="324"/>
      <c r="G988" s="324"/>
      <c r="H988" s="95">
        <f>((8.35+5.4+8.35+5.4)*0.1)-((0.8*0.1*4)+(3.75*0.1))</f>
        <v>2.0549999999999997</v>
      </c>
    </row>
    <row r="989" spans="1:8" ht="26.25" customHeight="1">
      <c r="A989" s="333"/>
      <c r="B989" s="100" t="s">
        <v>460</v>
      </c>
      <c r="C989" s="324" t="s">
        <v>749</v>
      </c>
      <c r="D989" s="324"/>
      <c r="E989" s="324"/>
      <c r="F989" s="324"/>
      <c r="G989" s="324"/>
      <c r="H989" s="95">
        <f>((27.6+4.45+27.6+6.15+2.85+6.15)*0.1)-((0.8*0.1*12)+(1*0.1))</f>
        <v>6.4200000000000008</v>
      </c>
    </row>
    <row r="990" spans="1:8" ht="29.25" customHeight="1">
      <c r="A990" s="333"/>
      <c r="B990" s="100" t="s">
        <v>461</v>
      </c>
      <c r="C990" s="324" t="s">
        <v>750</v>
      </c>
      <c r="D990" s="324"/>
      <c r="E990" s="324"/>
      <c r="F990" s="324"/>
      <c r="G990" s="324"/>
      <c r="H990" s="95">
        <f>((10.6+9.15+6.15+6.3)*0.1)-((0.8*0.1*4)+(1*0.1)+((2.8+2.7)*0.1))</f>
        <v>2.2499999999999996</v>
      </c>
    </row>
    <row r="991" spans="1:8">
      <c r="A991" s="333"/>
      <c r="B991" s="100" t="s">
        <v>492</v>
      </c>
      <c r="C991" s="324" t="s">
        <v>751</v>
      </c>
      <c r="D991" s="324"/>
      <c r="E991" s="324"/>
      <c r="F991" s="324"/>
      <c r="G991" s="324"/>
      <c r="H991" s="95">
        <f>((4.5+3.25+4.5+3.25)*0.1)-((0.8*0.1)+(2*0.1))</f>
        <v>1.27</v>
      </c>
    </row>
    <row r="992" spans="1:8">
      <c r="A992" s="333"/>
      <c r="B992" s="100" t="s">
        <v>652</v>
      </c>
      <c r="C992" s="324" t="s">
        <v>752</v>
      </c>
      <c r="D992" s="324"/>
      <c r="E992" s="324"/>
      <c r="F992" s="324"/>
      <c r="G992" s="324"/>
      <c r="H992" s="95">
        <f>((2.3+3.25+2.5+3.25)*0.1)-((0.8*0.1)+(2*0.1))</f>
        <v>0.85000000000000009</v>
      </c>
    </row>
    <row r="993" spans="1:8" ht="30" customHeight="1">
      <c r="A993" s="333"/>
      <c r="B993" s="100" t="s">
        <v>653</v>
      </c>
      <c r="C993" s="324" t="s">
        <v>753</v>
      </c>
      <c r="D993" s="324"/>
      <c r="E993" s="324"/>
      <c r="F993" s="324"/>
      <c r="G993" s="324"/>
      <c r="H993" s="95">
        <f>((5.15+2.95+2.15+0.15+3+3.25)*0.1)-((0.8*0.1)+(2*0.1*2))</f>
        <v>1.1850000000000003</v>
      </c>
    </row>
    <row r="994" spans="1:8">
      <c r="A994" s="333"/>
      <c r="B994" s="100" t="s">
        <v>654</v>
      </c>
      <c r="C994" s="324" t="s">
        <v>754</v>
      </c>
      <c r="D994" s="324"/>
      <c r="E994" s="324"/>
      <c r="F994" s="324"/>
      <c r="G994" s="324"/>
      <c r="H994" s="95">
        <f>((1.4+2.5+1.4+2.5)*0.1)-(0.8*0.1)</f>
        <v>0.7</v>
      </c>
    </row>
    <row r="995" spans="1:8">
      <c r="A995" s="333"/>
      <c r="B995" s="100" t="s">
        <v>655</v>
      </c>
      <c r="C995" s="324" t="s">
        <v>755</v>
      </c>
      <c r="D995" s="324"/>
      <c r="E995" s="324"/>
      <c r="F995" s="324"/>
      <c r="G995" s="324"/>
      <c r="H995" s="95">
        <f>((6.4+1.1+6.4+1.1)*0.1)-(0.8*0.1*6)</f>
        <v>1.02</v>
      </c>
    </row>
    <row r="996" spans="1:8">
      <c r="A996" s="322"/>
      <c r="B996" s="109"/>
      <c r="C996" s="325" t="s">
        <v>177</v>
      </c>
      <c r="D996" s="325"/>
      <c r="E996" s="325"/>
      <c r="F996" s="325"/>
      <c r="G996" s="325"/>
      <c r="H996" s="149">
        <f>SUM(H972:H995)</f>
        <v>46.170000000000009</v>
      </c>
    </row>
    <row r="997" spans="1:8" ht="30.75" customHeight="1">
      <c r="A997" s="332" t="str">
        <f>'PLANILHA ORÇAMENTARIA'!A156</f>
        <v>17.9</v>
      </c>
      <c r="B997" s="190">
        <f>'PLANILHA ORÇAMENTARIA'!B156</f>
        <v>9020</v>
      </c>
      <c r="C997" s="176" t="s">
        <v>26</v>
      </c>
      <c r="D997" s="318" t="str">
        <f>'PLANILHA ORÇAMENTARIA'!D156</f>
        <v>Coifa em aço inox escovado aisi 304, tipo encostada, com filtros inercias, descarga vertical superior com diam=30cm, exaustor, duto, chapeu chines, filtro, dimensões: larg=1400 x prof=1200 x alt=600mm</v>
      </c>
      <c r="E997" s="318"/>
      <c r="F997" s="318"/>
      <c r="G997" s="91" t="str">
        <f>'PLANILHA ORÇAMENTARIA'!E156</f>
        <v>un.</v>
      </c>
      <c r="H997" s="94">
        <f>H999</f>
        <v>1</v>
      </c>
    </row>
    <row r="998" spans="1:8">
      <c r="A998" s="321"/>
      <c r="B998" s="100" t="s">
        <v>396</v>
      </c>
      <c r="C998" s="314" t="s">
        <v>397</v>
      </c>
      <c r="D998" s="314"/>
      <c r="E998" s="314"/>
      <c r="F998" s="314"/>
      <c r="G998" s="314"/>
      <c r="H998" s="95">
        <v>1</v>
      </c>
    </row>
    <row r="999" spans="1:8">
      <c r="A999" s="322"/>
      <c r="B999" s="109"/>
      <c r="C999" s="325" t="s">
        <v>177</v>
      </c>
      <c r="D999" s="325"/>
      <c r="E999" s="325"/>
      <c r="F999" s="325"/>
      <c r="G999" s="325"/>
      <c r="H999" s="149">
        <f>SUM(H998:H998)</f>
        <v>1</v>
      </c>
    </row>
    <row r="1000" spans="1:8">
      <c r="A1000" s="332" t="str">
        <f>'PLANILHA ORÇAMENTARIA'!A157</f>
        <v>17.10</v>
      </c>
      <c r="B1000" s="190" t="s">
        <v>181</v>
      </c>
      <c r="C1000" s="176" t="s">
        <v>181</v>
      </c>
      <c r="D1000" s="318" t="str">
        <f>'PLANILHA ORÇAMENTARIA'!D157</f>
        <v>Piso borracha</v>
      </c>
      <c r="E1000" s="318"/>
      <c r="F1000" s="318"/>
      <c r="G1000" s="91" t="str">
        <f>'PLANILHA ORÇAMENTARIA'!E157</f>
        <v>m²</v>
      </c>
      <c r="H1000" s="94">
        <f>H1002</f>
        <v>69.650000000000006</v>
      </c>
    </row>
    <row r="1001" spans="1:8">
      <c r="A1001" s="321"/>
      <c r="B1001" s="100" t="s">
        <v>394</v>
      </c>
      <c r="C1001" s="314" t="s">
        <v>395</v>
      </c>
      <c r="D1001" s="314"/>
      <c r="E1001" s="314"/>
      <c r="F1001" s="314"/>
      <c r="G1001" s="314"/>
      <c r="H1001" s="95">
        <f>69.65</f>
        <v>69.650000000000006</v>
      </c>
    </row>
    <row r="1002" spans="1:8">
      <c r="A1002" s="322"/>
      <c r="B1002" s="109"/>
      <c r="C1002" s="325" t="s">
        <v>177</v>
      </c>
      <c r="D1002" s="325"/>
      <c r="E1002" s="325"/>
      <c r="F1002" s="325"/>
      <c r="G1002" s="325"/>
      <c r="H1002" s="149">
        <f>SUM(H1001:H1001)</f>
        <v>69.650000000000006</v>
      </c>
    </row>
    <row r="1003" spans="1:8">
      <c r="A1003" s="332" t="str">
        <f>'PLANILHA ORÇAMENTARIA'!A158</f>
        <v>17.11</v>
      </c>
      <c r="B1003" s="190">
        <v>12044</v>
      </c>
      <c r="C1003" s="176" t="s">
        <v>26</v>
      </c>
      <c r="D1003" s="318" t="str">
        <f>'PLANILHA ORÇAMENTARIA'!D158</f>
        <v>Letras de aço inox 25x25 cm, "nome a definir".</v>
      </c>
      <c r="E1003" s="318"/>
      <c r="F1003" s="318"/>
      <c r="G1003" s="91" t="str">
        <f>'PLANILHA ORÇAMENTARIA'!E158</f>
        <v>un.</v>
      </c>
      <c r="H1003" s="94">
        <f>H1005</f>
        <v>21</v>
      </c>
    </row>
    <row r="1004" spans="1:8">
      <c r="A1004" s="321"/>
      <c r="B1004" s="100" t="s">
        <v>444</v>
      </c>
      <c r="C1004" s="314" t="s">
        <v>601</v>
      </c>
      <c r="D1004" s="314"/>
      <c r="E1004" s="314"/>
      <c r="F1004" s="314"/>
      <c r="G1004" s="314"/>
      <c r="H1004" s="95">
        <v>21</v>
      </c>
    </row>
    <row r="1005" spans="1:8">
      <c r="A1005" s="322"/>
      <c r="B1005" s="109"/>
      <c r="C1005" s="325" t="s">
        <v>177</v>
      </c>
      <c r="D1005" s="325"/>
      <c r="E1005" s="325"/>
      <c r="F1005" s="325"/>
      <c r="G1005" s="325"/>
      <c r="H1005" s="149">
        <f>SUM(H1004:H1004)</f>
        <v>21</v>
      </c>
    </row>
    <row r="1006" spans="1:8">
      <c r="A1006" s="332" t="str">
        <f>'PLANILHA ORÇAMENTARIA'!A159</f>
        <v>17.12</v>
      </c>
      <c r="B1006" s="190" t="s">
        <v>589</v>
      </c>
      <c r="C1006" s="176" t="s">
        <v>12</v>
      </c>
      <c r="D1006" s="318" t="str">
        <f>'PLANILHA ORÇAMENTARIA'!D159</f>
        <v>Tabela de basquete em poste metálico e suporte de piso.</v>
      </c>
      <c r="E1006" s="318"/>
      <c r="F1006" s="318"/>
      <c r="G1006" s="91" t="str">
        <f>'PLANILHA ORÇAMENTARIA'!E159</f>
        <v>un.</v>
      </c>
      <c r="H1006" s="94">
        <f>H1008</f>
        <v>2</v>
      </c>
    </row>
    <row r="1007" spans="1:8">
      <c r="A1007" s="321"/>
      <c r="B1007" s="100" t="s">
        <v>444</v>
      </c>
      <c r="C1007" s="314" t="s">
        <v>397</v>
      </c>
      <c r="D1007" s="314"/>
      <c r="E1007" s="314"/>
      <c r="F1007" s="314"/>
      <c r="G1007" s="314"/>
      <c r="H1007" s="95">
        <v>2</v>
      </c>
    </row>
    <row r="1008" spans="1:8">
      <c r="A1008" s="322"/>
      <c r="B1008" s="109"/>
      <c r="C1008" s="325" t="s">
        <v>177</v>
      </c>
      <c r="D1008" s="325"/>
      <c r="E1008" s="325"/>
      <c r="F1008" s="325"/>
      <c r="G1008" s="325"/>
      <c r="H1008" s="149">
        <f>SUM(H1007:H1007)</f>
        <v>2</v>
      </c>
    </row>
    <row r="1009" spans="1:8">
      <c r="A1009" s="332" t="str">
        <f>'PLANILHA ORÇAMENTARIA'!A160</f>
        <v>17.13</v>
      </c>
      <c r="B1009" s="190" t="s">
        <v>591</v>
      </c>
      <c r="C1009" s="176" t="s">
        <v>12</v>
      </c>
      <c r="D1009" s="318" t="str">
        <f>'PLANILHA ORÇAMENTARIA'!D160</f>
        <v>Trave de gol em tubo galvanizado para quadra, inclusive rede e pintura.</v>
      </c>
      <c r="E1009" s="318"/>
      <c r="F1009" s="318"/>
      <c r="G1009" s="91" t="str">
        <f>'PLANILHA ORÇAMENTARIA'!E160</f>
        <v>un.</v>
      </c>
      <c r="H1009" s="94">
        <f>H1011</f>
        <v>2</v>
      </c>
    </row>
    <row r="1010" spans="1:8">
      <c r="A1010" s="321"/>
      <c r="B1010" s="100" t="s">
        <v>444</v>
      </c>
      <c r="C1010" s="314" t="s">
        <v>397</v>
      </c>
      <c r="D1010" s="314"/>
      <c r="E1010" s="314"/>
      <c r="F1010" s="314"/>
      <c r="G1010" s="314"/>
      <c r="H1010" s="95">
        <v>2</v>
      </c>
    </row>
    <row r="1011" spans="1:8">
      <c r="A1011" s="322"/>
      <c r="B1011" s="109"/>
      <c r="C1011" s="325" t="s">
        <v>177</v>
      </c>
      <c r="D1011" s="325"/>
      <c r="E1011" s="325"/>
      <c r="F1011" s="325"/>
      <c r="G1011" s="325"/>
      <c r="H1011" s="149">
        <f>SUM(H1010:H1010)</f>
        <v>2</v>
      </c>
    </row>
    <row r="1012" spans="1:8">
      <c r="A1012" s="332" t="str">
        <f>'PLANILHA ORÇAMENTARIA'!A161</f>
        <v>17.14</v>
      </c>
      <c r="B1012" s="190" t="s">
        <v>593</v>
      </c>
      <c r="C1012" s="176" t="s">
        <v>12</v>
      </c>
      <c r="D1012" s="318" t="str">
        <f>'PLANILHA ORÇAMENTARIA'!D161</f>
        <v xml:space="preserve">	Rede de vôlei com mastro e pedestal para juiz.</v>
      </c>
      <c r="E1012" s="318"/>
      <c r="F1012" s="318"/>
      <c r="G1012" s="91" t="str">
        <f>'PLANILHA ORÇAMENTARIA'!E161</f>
        <v>un.</v>
      </c>
      <c r="H1012" s="94">
        <f>H1014</f>
        <v>1</v>
      </c>
    </row>
    <row r="1013" spans="1:8">
      <c r="A1013" s="321"/>
      <c r="B1013" s="100" t="s">
        <v>444</v>
      </c>
      <c r="C1013" s="314" t="s">
        <v>397</v>
      </c>
      <c r="D1013" s="314"/>
      <c r="E1013" s="314"/>
      <c r="F1013" s="314"/>
      <c r="G1013" s="314"/>
      <c r="H1013" s="95">
        <v>1</v>
      </c>
    </row>
    <row r="1014" spans="1:8">
      <c r="A1014" s="322"/>
      <c r="B1014" s="109"/>
      <c r="C1014" s="325" t="s">
        <v>177</v>
      </c>
      <c r="D1014" s="325"/>
      <c r="E1014" s="325"/>
      <c r="F1014" s="325"/>
      <c r="G1014" s="325"/>
      <c r="H1014" s="149">
        <f>SUM(H1013:H1013)</f>
        <v>1</v>
      </c>
    </row>
    <row r="1015" spans="1:8" ht="26.25" customHeight="1">
      <c r="A1015" s="332" t="str">
        <f>'PLANILHA ORÇAMENTARIA'!A162</f>
        <v>17.15</v>
      </c>
      <c r="B1015" s="190" t="s">
        <v>596</v>
      </c>
      <c r="C1015" s="176" t="s">
        <v>12</v>
      </c>
      <c r="D1015" s="318" t="str">
        <f>'PLANILHA ORÇAMENTARIA'!D162</f>
        <v>Alambrado para quadra esportiva, com tela de arame galvanizado fio 12 # 2", fixado em quadros de tubos de aço carbono galvanizado dn 50mm (2").</v>
      </c>
      <c r="E1015" s="318"/>
      <c r="F1015" s="318"/>
      <c r="G1015" s="91" t="str">
        <f>'PLANILHA ORÇAMENTARIA'!E162</f>
        <v>m²</v>
      </c>
      <c r="H1015" s="94">
        <f>H1017</f>
        <v>216</v>
      </c>
    </row>
    <row r="1016" spans="1:8">
      <c r="A1016" s="321"/>
      <c r="B1016" s="100" t="s">
        <v>444</v>
      </c>
      <c r="C1016" s="314" t="s">
        <v>597</v>
      </c>
      <c r="D1016" s="314"/>
      <c r="E1016" s="314"/>
      <c r="F1016" s="314"/>
      <c r="G1016" s="314"/>
      <c r="H1016" s="95">
        <f>18*6*2</f>
        <v>216</v>
      </c>
    </row>
    <row r="1017" spans="1:8">
      <c r="A1017" s="322"/>
      <c r="B1017" s="109"/>
      <c r="C1017" s="325" t="s">
        <v>177</v>
      </c>
      <c r="D1017" s="325"/>
      <c r="E1017" s="325"/>
      <c r="F1017" s="325"/>
      <c r="G1017" s="325"/>
      <c r="H1017" s="149">
        <f>SUM(H1016:H1016)</f>
        <v>216</v>
      </c>
    </row>
    <row r="1018" spans="1:8">
      <c r="A1018" s="326"/>
      <c r="B1018" s="327"/>
      <c r="C1018" s="327"/>
      <c r="D1018" s="327"/>
      <c r="E1018" s="327"/>
      <c r="F1018" s="327"/>
      <c r="G1018" s="327"/>
      <c r="H1018" s="328"/>
    </row>
    <row r="1019" spans="1:8">
      <c r="A1019" s="73">
        <f>'PLANILHA ORÇAMENTARIA'!A164</f>
        <v>18</v>
      </c>
      <c r="B1019" s="379" t="s">
        <v>64</v>
      </c>
      <c r="C1019" s="379"/>
      <c r="D1019" s="379"/>
      <c r="E1019" s="379"/>
      <c r="F1019" s="379"/>
      <c r="G1019" s="379"/>
      <c r="H1019" s="380"/>
    </row>
    <row r="1020" spans="1:8">
      <c r="A1020" s="332" t="str">
        <f>'PLANILHA ORÇAMENTARIA'!A165</f>
        <v>18.1</v>
      </c>
      <c r="B1020" s="92" t="str">
        <f>'PLANILHA ORÇAMENTARIA'!B165</f>
        <v>LIM-GER-005</v>
      </c>
      <c r="C1020" s="93" t="str">
        <f>'PLANILHA ORÇAMENTARIA'!C165</f>
        <v>SETOP</v>
      </c>
      <c r="D1020" s="318" t="str">
        <f>'PLANILHA ORÇAMENTARIA'!D165</f>
        <v>Limpeza final para entrega da obra</v>
      </c>
      <c r="E1020" s="318"/>
      <c r="F1020" s="318"/>
      <c r="G1020" s="91" t="str">
        <f>'PLANILHA ORÇAMENTARIA'!E165</f>
        <v>m²</v>
      </c>
      <c r="H1020" s="94">
        <f>H1022</f>
        <v>300</v>
      </c>
    </row>
    <row r="1021" spans="1:8">
      <c r="A1021" s="333"/>
      <c r="B1021" s="100" t="s">
        <v>425</v>
      </c>
      <c r="C1021" s="314" t="s">
        <v>558</v>
      </c>
      <c r="D1021" s="314"/>
      <c r="E1021" s="314"/>
      <c r="F1021" s="314"/>
      <c r="G1021" s="314"/>
      <c r="H1021" s="95">
        <v>300</v>
      </c>
    </row>
    <row r="1022" spans="1:8">
      <c r="A1022" s="334"/>
      <c r="B1022" s="87"/>
      <c r="C1022" s="319" t="s">
        <v>177</v>
      </c>
      <c r="D1022" s="319"/>
      <c r="E1022" s="319"/>
      <c r="F1022" s="319"/>
      <c r="G1022" s="319"/>
      <c r="H1022" s="96">
        <f>SUM(H1021:H1021)</f>
        <v>300</v>
      </c>
    </row>
    <row r="1023" spans="1:8">
      <c r="A1023" s="326"/>
      <c r="B1023" s="327"/>
      <c r="C1023" s="327"/>
      <c r="D1023" s="327"/>
      <c r="E1023" s="327"/>
      <c r="F1023" s="327"/>
      <c r="G1023" s="327"/>
      <c r="H1023" s="328"/>
    </row>
    <row r="1024" spans="1:8">
      <c r="A1024" s="264"/>
      <c r="B1024" s="264"/>
      <c r="C1024" s="264"/>
      <c r="D1024" s="264"/>
      <c r="E1024" s="264"/>
      <c r="F1024" s="264"/>
      <c r="G1024" s="264"/>
      <c r="H1024" s="264"/>
    </row>
    <row r="1025" spans="1:8">
      <c r="A1025" s="282"/>
      <c r="B1025" s="283"/>
      <c r="C1025" s="283"/>
      <c r="D1025" s="283"/>
      <c r="E1025" s="283"/>
      <c r="F1025" s="283"/>
      <c r="G1025" s="285"/>
      <c r="H1025" s="286"/>
    </row>
    <row r="1026" spans="1:8">
      <c r="A1026" s="367" t="s">
        <v>66</v>
      </c>
      <c r="B1026" s="368"/>
      <c r="C1026" s="368"/>
      <c r="D1026" s="368"/>
      <c r="E1026" s="368"/>
      <c r="F1026" s="368"/>
      <c r="G1026" s="368"/>
      <c r="H1026" s="369"/>
    </row>
    <row r="1027" spans="1:8">
      <c r="A1027" s="367" t="s">
        <v>67</v>
      </c>
      <c r="B1027" s="368"/>
      <c r="C1027" s="368"/>
      <c r="D1027" s="368"/>
      <c r="E1027" s="368"/>
      <c r="F1027" s="368"/>
      <c r="G1027" s="368"/>
      <c r="H1027" s="369"/>
    </row>
    <row r="1028" spans="1:8" ht="15">
      <c r="A1028" s="370"/>
      <c r="B1028" s="370"/>
      <c r="C1028" s="370"/>
      <c r="D1028" s="370"/>
      <c r="E1028" s="370"/>
      <c r="F1028" s="370"/>
      <c r="G1028" s="370"/>
      <c r="H1028" s="370"/>
    </row>
    <row r="1029" spans="1:8" ht="14.25" customHeight="1">
      <c r="A1029" s="358"/>
      <c r="B1029" s="359"/>
      <c r="C1029" s="359"/>
      <c r="D1029" s="359"/>
      <c r="E1029" s="359"/>
      <c r="F1029" s="359"/>
      <c r="G1029" s="359"/>
      <c r="H1029" s="360"/>
    </row>
    <row r="1030" spans="1:8" ht="14.25" customHeight="1">
      <c r="A1030" s="361"/>
      <c r="B1030" s="362"/>
      <c r="C1030" s="362"/>
      <c r="D1030" s="362"/>
      <c r="E1030" s="362"/>
      <c r="F1030" s="362"/>
      <c r="G1030" s="362"/>
      <c r="H1030" s="363"/>
    </row>
    <row r="1031" spans="1:8" ht="14.25" customHeight="1">
      <c r="A1031" s="361"/>
      <c r="B1031" s="362"/>
      <c r="C1031" s="362"/>
      <c r="D1031" s="362"/>
      <c r="E1031" s="362"/>
      <c r="F1031" s="362"/>
      <c r="G1031" s="362"/>
      <c r="H1031" s="363"/>
    </row>
    <row r="1032" spans="1:8" ht="14.25" customHeight="1">
      <c r="A1032" s="361"/>
      <c r="B1032" s="362"/>
      <c r="C1032" s="362"/>
      <c r="D1032" s="362"/>
      <c r="E1032" s="362"/>
      <c r="F1032" s="362"/>
      <c r="G1032" s="362"/>
      <c r="H1032" s="363"/>
    </row>
    <row r="1033" spans="1:8" ht="14.25" customHeight="1">
      <c r="A1033" s="361"/>
      <c r="B1033" s="362"/>
      <c r="C1033" s="362"/>
      <c r="D1033" s="362"/>
      <c r="E1033" s="362"/>
      <c r="F1033" s="362"/>
      <c r="G1033" s="362"/>
      <c r="H1033" s="363"/>
    </row>
    <row r="1034" spans="1:8" ht="14.25" customHeight="1">
      <c r="A1034" s="361"/>
      <c r="B1034" s="362"/>
      <c r="C1034" s="362"/>
      <c r="D1034" s="362"/>
      <c r="E1034" s="362"/>
      <c r="F1034" s="362"/>
      <c r="G1034" s="362"/>
      <c r="H1034" s="363"/>
    </row>
    <row r="1035" spans="1:8" ht="14.25" customHeight="1">
      <c r="A1035" s="361"/>
      <c r="B1035" s="362"/>
      <c r="C1035" s="362"/>
      <c r="D1035" s="362"/>
      <c r="E1035" s="362"/>
      <c r="F1035" s="362"/>
      <c r="G1035" s="362"/>
      <c r="H1035" s="363"/>
    </row>
    <row r="1036" spans="1:8" ht="14.25" customHeight="1">
      <c r="A1036" s="361"/>
      <c r="B1036" s="362"/>
      <c r="C1036" s="362"/>
      <c r="D1036" s="362"/>
      <c r="E1036" s="362"/>
      <c r="F1036" s="362"/>
      <c r="G1036" s="362"/>
      <c r="H1036" s="363"/>
    </row>
    <row r="1037" spans="1:8" ht="14.25" customHeight="1">
      <c r="A1037" s="364"/>
      <c r="B1037" s="365"/>
      <c r="C1037" s="365"/>
      <c r="D1037" s="365"/>
      <c r="E1037" s="365"/>
      <c r="F1037" s="365"/>
      <c r="G1037" s="365"/>
      <c r="H1037" s="366"/>
    </row>
  </sheetData>
  <mergeCells count="1126">
    <mergeCell ref="C637:G637"/>
    <mergeCell ref="C638:G638"/>
    <mergeCell ref="C639:G639"/>
    <mergeCell ref="C640:G640"/>
    <mergeCell ref="C641:G641"/>
    <mergeCell ref="C642:G642"/>
    <mergeCell ref="C586:G586"/>
    <mergeCell ref="C587:G587"/>
    <mergeCell ref="C588:G588"/>
    <mergeCell ref="C589:G589"/>
    <mergeCell ref="C616:G616"/>
    <mergeCell ref="C620:G620"/>
    <mergeCell ref="C604:G604"/>
    <mergeCell ref="C605:G605"/>
    <mergeCell ref="C606:G606"/>
    <mergeCell ref="C609:G609"/>
    <mergeCell ref="C610:G610"/>
    <mergeCell ref="C611:G611"/>
    <mergeCell ref="C608:G608"/>
    <mergeCell ref="C623:G623"/>
    <mergeCell ref="C591:G591"/>
    <mergeCell ref="C550:G550"/>
    <mergeCell ref="C551:G551"/>
    <mergeCell ref="C552:G552"/>
    <mergeCell ref="C553:G553"/>
    <mergeCell ref="C554:G554"/>
    <mergeCell ref="C555:G555"/>
    <mergeCell ref="C559:G559"/>
    <mergeCell ref="C431:G431"/>
    <mergeCell ref="C530:G530"/>
    <mergeCell ref="C531:G531"/>
    <mergeCell ref="C532:G532"/>
    <mergeCell ref="C533:G533"/>
    <mergeCell ref="C534:G534"/>
    <mergeCell ref="C535:G535"/>
    <mergeCell ref="C536:G536"/>
    <mergeCell ref="C537:G537"/>
    <mergeCell ref="C538:G538"/>
    <mergeCell ref="C524:G524"/>
    <mergeCell ref="C525:G525"/>
    <mergeCell ref="C539:G539"/>
    <mergeCell ref="C540:G540"/>
    <mergeCell ref="C541:G541"/>
    <mergeCell ref="C542:G542"/>
    <mergeCell ref="C543:G543"/>
    <mergeCell ref="C577:G577"/>
    <mergeCell ref="C578:G578"/>
    <mergeCell ref="C579:G579"/>
    <mergeCell ref="C580:G580"/>
    <mergeCell ref="C581:G581"/>
    <mergeCell ref="C582:G582"/>
    <mergeCell ref="C583:G583"/>
    <mergeCell ref="C584:G584"/>
    <mergeCell ref="C585:G585"/>
    <mergeCell ref="C568:G568"/>
    <mergeCell ref="C569:G569"/>
    <mergeCell ref="C570:G570"/>
    <mergeCell ref="C571:G571"/>
    <mergeCell ref="C572:G572"/>
    <mergeCell ref="C573:G573"/>
    <mergeCell ref="C546:G546"/>
    <mergeCell ref="C547:G547"/>
    <mergeCell ref="C574:G574"/>
    <mergeCell ref="C575:G575"/>
    <mergeCell ref="C576:G576"/>
    <mergeCell ref="C556:G556"/>
    <mergeCell ref="C557:G557"/>
    <mergeCell ref="C561:G561"/>
    <mergeCell ref="D560:F560"/>
    <mergeCell ref="C562:G562"/>
    <mergeCell ref="C563:G563"/>
    <mergeCell ref="C564:G564"/>
    <mergeCell ref="C565:G565"/>
    <mergeCell ref="C566:G566"/>
    <mergeCell ref="C567:G567"/>
    <mergeCell ref="C548:G548"/>
    <mergeCell ref="C549:G549"/>
    <mergeCell ref="C544:G544"/>
    <mergeCell ref="C545:G545"/>
    <mergeCell ref="C529:G529"/>
    <mergeCell ref="C499:G499"/>
    <mergeCell ref="C500:G500"/>
    <mergeCell ref="C501:G501"/>
    <mergeCell ref="C502:G502"/>
    <mergeCell ref="C503:G503"/>
    <mergeCell ref="C504:G504"/>
    <mergeCell ref="C505:G505"/>
    <mergeCell ref="C514:G514"/>
    <mergeCell ref="C515:G515"/>
    <mergeCell ref="C521:G521"/>
    <mergeCell ref="C522:G522"/>
    <mergeCell ref="C523:G523"/>
    <mergeCell ref="C516:G516"/>
    <mergeCell ref="C517:G517"/>
    <mergeCell ref="C518:G518"/>
    <mergeCell ref="C519:G519"/>
    <mergeCell ref="C520:G520"/>
    <mergeCell ref="C203:G203"/>
    <mergeCell ref="C352:G352"/>
    <mergeCell ref="C353:G353"/>
    <mergeCell ref="C354:G354"/>
    <mergeCell ref="C355:G355"/>
    <mergeCell ref="C358:G358"/>
    <mergeCell ref="C359:G359"/>
    <mergeCell ref="C360:G360"/>
    <mergeCell ref="C361:G361"/>
    <mergeCell ref="C342:G342"/>
    <mergeCell ref="C343:G343"/>
    <mergeCell ref="C344:G344"/>
    <mergeCell ref="C345:G345"/>
    <mergeCell ref="C346:G346"/>
    <mergeCell ref="C383:G383"/>
    <mergeCell ref="C384:G384"/>
    <mergeCell ref="C385:G385"/>
    <mergeCell ref="C378:G378"/>
    <mergeCell ref="C379:G379"/>
    <mergeCell ref="C380:G380"/>
    <mergeCell ref="C381:G381"/>
    <mergeCell ref="C382:G382"/>
    <mergeCell ref="C376:G376"/>
    <mergeCell ref="C377:G377"/>
    <mergeCell ref="C370:G370"/>
    <mergeCell ref="C371:G371"/>
    <mergeCell ref="C372:G372"/>
    <mergeCell ref="C373:G373"/>
    <mergeCell ref="C374:G374"/>
    <mergeCell ref="C375:G375"/>
    <mergeCell ref="C291:G291"/>
    <mergeCell ref="C292:G292"/>
    <mergeCell ref="C311:G311"/>
    <mergeCell ref="C312:G312"/>
    <mergeCell ref="C313:G313"/>
    <mergeCell ref="C314:G314"/>
    <mergeCell ref="C315:G315"/>
    <mergeCell ref="C316:G316"/>
    <mergeCell ref="C317:G317"/>
    <mergeCell ref="C318:G318"/>
    <mergeCell ref="C338:G338"/>
    <mergeCell ref="C339:G339"/>
    <mergeCell ref="C340:G340"/>
    <mergeCell ref="C341:G341"/>
    <mergeCell ref="C347:G347"/>
    <mergeCell ref="C328:G328"/>
    <mergeCell ref="C323:G323"/>
    <mergeCell ref="C324:G324"/>
    <mergeCell ref="C325:G325"/>
    <mergeCell ref="C396:G396"/>
    <mergeCell ref="C397:G397"/>
    <mergeCell ref="C398:G398"/>
    <mergeCell ref="C399:G399"/>
    <mergeCell ref="C400:G400"/>
    <mergeCell ref="C403:G403"/>
    <mergeCell ref="C404:G404"/>
    <mergeCell ref="C364:G364"/>
    <mergeCell ref="C365:G365"/>
    <mergeCell ref="C366:G366"/>
    <mergeCell ref="C367:G367"/>
    <mergeCell ref="C368:G368"/>
    <mergeCell ref="C369:G369"/>
    <mergeCell ref="C388:G388"/>
    <mergeCell ref="C348:G348"/>
    <mergeCell ref="C349:G349"/>
    <mergeCell ref="C389:G389"/>
    <mergeCell ref="C390:G390"/>
    <mergeCell ref="C387:G387"/>
    <mergeCell ref="A1006:A1008"/>
    <mergeCell ref="D1006:F1006"/>
    <mergeCell ref="C1007:G1007"/>
    <mergeCell ref="C1008:G1008"/>
    <mergeCell ref="A1009:A1011"/>
    <mergeCell ref="D1009:F1009"/>
    <mergeCell ref="C1010:G1010"/>
    <mergeCell ref="C1011:G1011"/>
    <mergeCell ref="A1012:A1014"/>
    <mergeCell ref="D1012:F1012"/>
    <mergeCell ref="C1013:G1013"/>
    <mergeCell ref="C1014:G1014"/>
    <mergeCell ref="A1015:A1017"/>
    <mergeCell ref="D1015:F1015"/>
    <mergeCell ref="C1016:G1016"/>
    <mergeCell ref="C1017:G1017"/>
    <mergeCell ref="A1003:A1005"/>
    <mergeCell ref="D1003:F1003"/>
    <mergeCell ref="C1004:G1004"/>
    <mergeCell ref="C1005:G1005"/>
    <mergeCell ref="C115:G115"/>
    <mergeCell ref="C152:G152"/>
    <mergeCell ref="C116:G116"/>
    <mergeCell ref="C141:G141"/>
    <mergeCell ref="C142:G142"/>
    <mergeCell ref="C143:G143"/>
    <mergeCell ref="C144:G144"/>
    <mergeCell ref="C145:G145"/>
    <mergeCell ref="C146:G146"/>
    <mergeCell ref="C147:G147"/>
    <mergeCell ref="C148:G148"/>
    <mergeCell ref="C149:G149"/>
    <mergeCell ref="C132:G132"/>
    <mergeCell ref="C133:G133"/>
    <mergeCell ref="C134:G134"/>
    <mergeCell ref="C135:G135"/>
    <mergeCell ref="C136:G136"/>
    <mergeCell ref="C137:G137"/>
    <mergeCell ref="C138:G138"/>
    <mergeCell ref="C139:G139"/>
    <mergeCell ref="C49:G49"/>
    <mergeCell ref="C50:G50"/>
    <mergeCell ref="C51:G51"/>
    <mergeCell ref="C52:G52"/>
    <mergeCell ref="C81:G81"/>
    <mergeCell ref="C70:G70"/>
    <mergeCell ref="C100:G100"/>
    <mergeCell ref="C101:G101"/>
    <mergeCell ref="C102:G102"/>
    <mergeCell ref="C103:G103"/>
    <mergeCell ref="C104:G104"/>
    <mergeCell ref="C105:G105"/>
    <mergeCell ref="C90:G90"/>
    <mergeCell ref="C91:G91"/>
    <mergeCell ref="C92:G92"/>
    <mergeCell ref="C93:G93"/>
    <mergeCell ref="C94:G94"/>
    <mergeCell ref="C95:G95"/>
    <mergeCell ref="C96:G96"/>
    <mergeCell ref="C97:G97"/>
    <mergeCell ref="C98:G98"/>
    <mergeCell ref="C188:G188"/>
    <mergeCell ref="C158:G158"/>
    <mergeCell ref="A159:A166"/>
    <mergeCell ref="A156:A158"/>
    <mergeCell ref="C78:G78"/>
    <mergeCell ref="C79:G79"/>
    <mergeCell ref="C80:G80"/>
    <mergeCell ref="C77:G77"/>
    <mergeCell ref="C82:G82"/>
    <mergeCell ref="C83:G83"/>
    <mergeCell ref="C84:G84"/>
    <mergeCell ref="C85:G85"/>
    <mergeCell ref="C86:G86"/>
    <mergeCell ref="C87:G87"/>
    <mergeCell ref="C88:G88"/>
    <mergeCell ref="C89:G89"/>
    <mergeCell ref="C99:G99"/>
    <mergeCell ref="C140:G140"/>
    <mergeCell ref="C120:G120"/>
    <mergeCell ref="C121:G121"/>
    <mergeCell ref="C122:G122"/>
    <mergeCell ref="C123:G123"/>
    <mergeCell ref="C127:G127"/>
    <mergeCell ref="C128:G128"/>
    <mergeCell ref="C129:G129"/>
    <mergeCell ref="C130:G130"/>
    <mergeCell ref="C131:G131"/>
    <mergeCell ref="C126:G126"/>
    <mergeCell ref="C150:G150"/>
    <mergeCell ref="C151:G151"/>
    <mergeCell ref="C153:G153"/>
    <mergeCell ref="C114:G114"/>
    <mergeCell ref="C651:G651"/>
    <mergeCell ref="C657:G657"/>
    <mergeCell ref="A631:A658"/>
    <mergeCell ref="C868:G868"/>
    <mergeCell ref="C871:G871"/>
    <mergeCell ref="A885:A887"/>
    <mergeCell ref="C887:G887"/>
    <mergeCell ref="C879:G879"/>
    <mergeCell ref="C878:G878"/>
    <mergeCell ref="A854:A858"/>
    <mergeCell ref="D854:F854"/>
    <mergeCell ref="C855:G855"/>
    <mergeCell ref="C858:G858"/>
    <mergeCell ref="C852:G852"/>
    <mergeCell ref="A874:A876"/>
    <mergeCell ref="D874:F874"/>
    <mergeCell ref="A848:A853"/>
    <mergeCell ref="D848:F848"/>
    <mergeCell ref="D880:F880"/>
    <mergeCell ref="C882:G882"/>
    <mergeCell ref="A859:A866"/>
    <mergeCell ref="D859:F859"/>
    <mergeCell ref="C860:G860"/>
    <mergeCell ref="C866:G866"/>
    <mergeCell ref="C632:G632"/>
    <mergeCell ref="D631:F631"/>
    <mergeCell ref="C643:G643"/>
    <mergeCell ref="C644:G644"/>
    <mergeCell ref="C645:G645"/>
    <mergeCell ref="C646:G646"/>
    <mergeCell ref="C656:G656"/>
    <mergeCell ref="C636:G636"/>
    <mergeCell ref="A448:A454"/>
    <mergeCell ref="C336:G336"/>
    <mergeCell ref="C337:G337"/>
    <mergeCell ref="A592:A630"/>
    <mergeCell ref="A810:A819"/>
    <mergeCell ref="A822:A824"/>
    <mergeCell ref="C849:G849"/>
    <mergeCell ref="C851:G851"/>
    <mergeCell ref="A825:A827"/>
    <mergeCell ref="D825:F825"/>
    <mergeCell ref="C826:G826"/>
    <mergeCell ref="C827:G827"/>
    <mergeCell ref="C839:G839"/>
    <mergeCell ref="C824:G824"/>
    <mergeCell ref="C658:G658"/>
    <mergeCell ref="C693:G693"/>
    <mergeCell ref="C840:G840"/>
    <mergeCell ref="C634:G634"/>
    <mergeCell ref="C635:G635"/>
    <mergeCell ref="D762:F762"/>
    <mergeCell ref="D828:F828"/>
    <mergeCell ref="C829:G829"/>
    <mergeCell ref="C830:G830"/>
    <mergeCell ref="A798:A800"/>
    <mergeCell ref="A841:A845"/>
    <mergeCell ref="A846:H846"/>
    <mergeCell ref="C844:G844"/>
    <mergeCell ref="C633:G633"/>
    <mergeCell ref="C647:G647"/>
    <mergeCell ref="C648:G648"/>
    <mergeCell ref="C649:G649"/>
    <mergeCell ref="C650:G650"/>
    <mergeCell ref="C233:G233"/>
    <mergeCell ref="C401:G401"/>
    <mergeCell ref="C362:G362"/>
    <mergeCell ref="D392:F392"/>
    <mergeCell ref="C407:G407"/>
    <mergeCell ref="D357:F357"/>
    <mergeCell ref="D274:F274"/>
    <mergeCell ref="C449:G449"/>
    <mergeCell ref="C468:G468"/>
    <mergeCell ref="C305:G305"/>
    <mergeCell ref="D351:F351"/>
    <mergeCell ref="D308:F308"/>
    <mergeCell ref="C350:G350"/>
    <mergeCell ref="C266:G266"/>
    <mergeCell ref="C267:G267"/>
    <mergeCell ref="D265:F265"/>
    <mergeCell ref="C297:G297"/>
    <mergeCell ref="C257:G257"/>
    <mergeCell ref="D448:F448"/>
    <mergeCell ref="C298:G298"/>
    <mergeCell ref="C299:G299"/>
    <mergeCell ref="C300:G300"/>
    <mergeCell ref="C301:G301"/>
    <mergeCell ref="C302:G302"/>
    <mergeCell ref="C304:G304"/>
    <mergeCell ref="C309:G309"/>
    <mergeCell ref="C310:G310"/>
    <mergeCell ref="C405:G405"/>
    <mergeCell ref="C406:G406"/>
    <mergeCell ref="C393:G393"/>
    <mergeCell ref="C394:G394"/>
    <mergeCell ref="C395:G395"/>
    <mergeCell ref="A528:A559"/>
    <mergeCell ref="C195:G195"/>
    <mergeCell ref="D207:H207"/>
    <mergeCell ref="C234:G234"/>
    <mergeCell ref="A232:A234"/>
    <mergeCell ref="D232:F232"/>
    <mergeCell ref="A363:A391"/>
    <mergeCell ref="D363:F363"/>
    <mergeCell ref="C391:G391"/>
    <mergeCell ref="B231:C231"/>
    <mergeCell ref="C761:G761"/>
    <mergeCell ref="D592:F592"/>
    <mergeCell ref="C630:G630"/>
    <mergeCell ref="C590:G590"/>
    <mergeCell ref="A357:A362"/>
    <mergeCell ref="C239:G239"/>
    <mergeCell ref="C241:G241"/>
    <mergeCell ref="D238:F238"/>
    <mergeCell ref="C242:G242"/>
    <mergeCell ref="C263:G263"/>
    <mergeCell ref="D489:H489"/>
    <mergeCell ref="C319:G319"/>
    <mergeCell ref="C320:G320"/>
    <mergeCell ref="C321:G321"/>
    <mergeCell ref="C322:G322"/>
    <mergeCell ref="D225:F225"/>
    <mergeCell ref="C220:G220"/>
    <mergeCell ref="C209:G209"/>
    <mergeCell ref="A238:A242"/>
    <mergeCell ref="C356:G356"/>
    <mergeCell ref="C402:G402"/>
    <mergeCell ref="C492:G492"/>
    <mergeCell ref="A1023:H1023"/>
    <mergeCell ref="B1019:H1019"/>
    <mergeCell ref="A932:H932"/>
    <mergeCell ref="A1018:H1018"/>
    <mergeCell ref="A1020:A1022"/>
    <mergeCell ref="D1020:F1020"/>
    <mergeCell ref="C1021:G1021"/>
    <mergeCell ref="C1022:G1022"/>
    <mergeCell ref="A934:A940"/>
    <mergeCell ref="C956:G956"/>
    <mergeCell ref="C943:G943"/>
    <mergeCell ref="C958:G958"/>
    <mergeCell ref="A960:A963"/>
    <mergeCell ref="D960:F960"/>
    <mergeCell ref="A964:A967"/>
    <mergeCell ref="D964:F964"/>
    <mergeCell ref="C967:G967"/>
    <mergeCell ref="A997:A999"/>
    <mergeCell ref="D997:F997"/>
    <mergeCell ref="C998:G998"/>
    <mergeCell ref="C999:G999"/>
    <mergeCell ref="A968:A970"/>
    <mergeCell ref="C963:G963"/>
    <mergeCell ref="C962:G962"/>
    <mergeCell ref="D955:F955"/>
    <mergeCell ref="C959:G959"/>
    <mergeCell ref="A955:A959"/>
    <mergeCell ref="A951:A954"/>
    <mergeCell ref="D951:F951"/>
    <mergeCell ref="C953:G953"/>
    <mergeCell ref="C954:G954"/>
    <mergeCell ref="D934:F934"/>
    <mergeCell ref="A971:A996"/>
    <mergeCell ref="D971:F971"/>
    <mergeCell ref="C996:G996"/>
    <mergeCell ref="C939:G939"/>
    <mergeCell ref="C961:G961"/>
    <mergeCell ref="D906:F906"/>
    <mergeCell ref="C916:G916"/>
    <mergeCell ref="C911:G911"/>
    <mergeCell ref="A912:A914"/>
    <mergeCell ref="D912:F912"/>
    <mergeCell ref="C913:G913"/>
    <mergeCell ref="C914:G914"/>
    <mergeCell ref="A915:A917"/>
    <mergeCell ref="D915:F915"/>
    <mergeCell ref="C917:G917"/>
    <mergeCell ref="C908:G908"/>
    <mergeCell ref="A918:A920"/>
    <mergeCell ref="A923:A925"/>
    <mergeCell ref="D923:F923"/>
    <mergeCell ref="C927:G927"/>
    <mergeCell ref="C925:G925"/>
    <mergeCell ref="C928:G928"/>
    <mergeCell ref="A926:A928"/>
    <mergeCell ref="D926:F926"/>
    <mergeCell ref="C924:G924"/>
    <mergeCell ref="C907:G907"/>
    <mergeCell ref="C940:G940"/>
    <mergeCell ref="A941:A950"/>
    <mergeCell ref="D941:F941"/>
    <mergeCell ref="C950:G950"/>
    <mergeCell ref="A909:A911"/>
    <mergeCell ref="D909:F909"/>
    <mergeCell ref="C931:G931"/>
    <mergeCell ref="A921:H921"/>
    <mergeCell ref="A888:A890"/>
    <mergeCell ref="D888:F888"/>
    <mergeCell ref="C889:G889"/>
    <mergeCell ref="C890:G890"/>
    <mergeCell ref="C892:G892"/>
    <mergeCell ref="A877:A879"/>
    <mergeCell ref="D885:F885"/>
    <mergeCell ref="C893:G893"/>
    <mergeCell ref="A894:A896"/>
    <mergeCell ref="A897:A899"/>
    <mergeCell ref="D897:F897"/>
    <mergeCell ref="C898:G898"/>
    <mergeCell ref="C899:G899"/>
    <mergeCell ref="A900:A902"/>
    <mergeCell ref="D900:F900"/>
    <mergeCell ref="C901:G901"/>
    <mergeCell ref="C902:G902"/>
    <mergeCell ref="A891:A893"/>
    <mergeCell ref="D891:F891"/>
    <mergeCell ref="C886:G886"/>
    <mergeCell ref="C910:G910"/>
    <mergeCell ref="D918:F918"/>
    <mergeCell ref="C920:G920"/>
    <mergeCell ref="C919:G919"/>
    <mergeCell ref="C930:G930"/>
    <mergeCell ref="D822:F822"/>
    <mergeCell ref="C741:G741"/>
    <mergeCell ref="D159:F159"/>
    <mergeCell ref="C869:G869"/>
    <mergeCell ref="D870:F870"/>
    <mergeCell ref="C872:G872"/>
    <mergeCell ref="C873:G873"/>
    <mergeCell ref="A867:A869"/>
    <mergeCell ref="C883:G883"/>
    <mergeCell ref="C884:G884"/>
    <mergeCell ref="C881:G881"/>
    <mergeCell ref="A870:A873"/>
    <mergeCell ref="C875:G875"/>
    <mergeCell ref="D867:F867"/>
    <mergeCell ref="A903:A905"/>
    <mergeCell ref="D903:F903"/>
    <mergeCell ref="C904:G904"/>
    <mergeCell ref="C905:G905"/>
    <mergeCell ref="D894:F894"/>
    <mergeCell ref="D877:F877"/>
    <mergeCell ref="A880:A884"/>
    <mergeCell ref="A218:A223"/>
    <mergeCell ref="D218:F218"/>
    <mergeCell ref="A296:A305"/>
    <mergeCell ref="C191:G191"/>
    <mergeCell ref="A186:A189"/>
    <mergeCell ref="C802:G802"/>
    <mergeCell ref="C237:G237"/>
    <mergeCell ref="A494:H494"/>
    <mergeCell ref="C760:G760"/>
    <mergeCell ref="C797:G797"/>
    <mergeCell ref="A560:A591"/>
    <mergeCell ref="C20:G20"/>
    <mergeCell ref="A24:A32"/>
    <mergeCell ref="D24:F24"/>
    <mergeCell ref="D23:H23"/>
    <mergeCell ref="C27:G27"/>
    <mergeCell ref="A21:H21"/>
    <mergeCell ref="C25:G25"/>
    <mergeCell ref="C32:G32"/>
    <mergeCell ref="B23:C23"/>
    <mergeCell ref="C29:G29"/>
    <mergeCell ref="C30:G30"/>
    <mergeCell ref="C35:G35"/>
    <mergeCell ref="C850:G850"/>
    <mergeCell ref="C853:G853"/>
    <mergeCell ref="D841:F841"/>
    <mergeCell ref="C845:G845"/>
    <mergeCell ref="A831:H831"/>
    <mergeCell ref="A820:H820"/>
    <mergeCell ref="A833:A840"/>
    <mergeCell ref="D833:F833"/>
    <mergeCell ref="C834:G834"/>
    <mergeCell ref="C835:G835"/>
    <mergeCell ref="C836:G836"/>
    <mergeCell ref="C837:G837"/>
    <mergeCell ref="C838:G838"/>
    <mergeCell ref="C842:G842"/>
    <mergeCell ref="C843:G843"/>
    <mergeCell ref="C184:G184"/>
    <mergeCell ref="B207:C207"/>
    <mergeCell ref="C386:G386"/>
    <mergeCell ref="D810:F810"/>
    <mergeCell ref="C819:G819"/>
    <mergeCell ref="D181:H181"/>
    <mergeCell ref="C202:G202"/>
    <mergeCell ref="B198:C198"/>
    <mergeCell ref="C200:G200"/>
    <mergeCell ref="C185:G185"/>
    <mergeCell ref="C183:G183"/>
    <mergeCell ref="C194:G194"/>
    <mergeCell ref="A173:A175"/>
    <mergeCell ref="A1029:H1037"/>
    <mergeCell ref="A1024:H1024"/>
    <mergeCell ref="A1025:F1025"/>
    <mergeCell ref="G1025:H1025"/>
    <mergeCell ref="A1026:H1026"/>
    <mergeCell ref="A1027:H1027"/>
    <mergeCell ref="A1028:H1028"/>
    <mergeCell ref="C823:G823"/>
    <mergeCell ref="B410:C410"/>
    <mergeCell ref="D410:H410"/>
    <mergeCell ref="B489:C489"/>
    <mergeCell ref="D411:F411"/>
    <mergeCell ref="C452:G452"/>
    <mergeCell ref="A762:A797"/>
    <mergeCell ref="A411:A447"/>
    <mergeCell ref="C447:G447"/>
    <mergeCell ref="A455:A488"/>
    <mergeCell ref="D455:F455"/>
    <mergeCell ref="C488:G488"/>
    <mergeCell ref="C456:G456"/>
    <mergeCell ref="C475:G475"/>
    <mergeCell ref="C333:G333"/>
    <mergeCell ref="C334:G334"/>
    <mergeCell ref="C335:G335"/>
    <mergeCell ref="D156:F156"/>
    <mergeCell ref="A112:A118"/>
    <mergeCell ref="A108:A110"/>
    <mergeCell ref="A73:A107"/>
    <mergeCell ref="D40:F40"/>
    <mergeCell ref="B67:C67"/>
    <mergeCell ref="D67:H67"/>
    <mergeCell ref="D108:F108"/>
    <mergeCell ref="C109:G109"/>
    <mergeCell ref="C110:G110"/>
    <mergeCell ref="D73:F73"/>
    <mergeCell ref="C106:G106"/>
    <mergeCell ref="C107:G107"/>
    <mergeCell ref="C66:G66"/>
    <mergeCell ref="C75:G75"/>
    <mergeCell ref="C76:G76"/>
    <mergeCell ref="A68:A72"/>
    <mergeCell ref="D68:F68"/>
    <mergeCell ref="C69:G69"/>
    <mergeCell ref="C72:G72"/>
    <mergeCell ref="C53:G53"/>
    <mergeCell ref="C54:G54"/>
    <mergeCell ref="C55:G55"/>
    <mergeCell ref="C56:G56"/>
    <mergeCell ref="A61:A63"/>
    <mergeCell ref="D61:F61"/>
    <mergeCell ref="A64:A66"/>
    <mergeCell ref="D64:F64"/>
    <mergeCell ref="C44:G44"/>
    <mergeCell ref="C46:G46"/>
    <mergeCell ref="C47:G47"/>
    <mergeCell ref="C48:G48"/>
    <mergeCell ref="C43:G43"/>
    <mergeCell ref="A58:A60"/>
    <mergeCell ref="D58:F58"/>
    <mergeCell ref="A1:H5"/>
    <mergeCell ref="A7:H7"/>
    <mergeCell ref="A8:D8"/>
    <mergeCell ref="A9:F9"/>
    <mergeCell ref="A10:F10"/>
    <mergeCell ref="A13:H13"/>
    <mergeCell ref="B111:C111"/>
    <mergeCell ref="D111:H111"/>
    <mergeCell ref="C37:G37"/>
    <mergeCell ref="C26:G26"/>
    <mergeCell ref="C28:G28"/>
    <mergeCell ref="C31:G31"/>
    <mergeCell ref="B12:H12"/>
    <mergeCell ref="B39:C39"/>
    <mergeCell ref="D39:H39"/>
    <mergeCell ref="A6:H6"/>
    <mergeCell ref="C36:G36"/>
    <mergeCell ref="A11:H11"/>
    <mergeCell ref="A33:A38"/>
    <mergeCell ref="D33:F33"/>
    <mergeCell ref="C34:G34"/>
    <mergeCell ref="C38:G38"/>
    <mergeCell ref="A18:A20"/>
    <mergeCell ref="A15:A17"/>
    <mergeCell ref="D15:F15"/>
    <mergeCell ref="C16:G16"/>
    <mergeCell ref="C17:G17"/>
    <mergeCell ref="D18:F18"/>
    <mergeCell ref="C19:G19"/>
    <mergeCell ref="C412:G412"/>
    <mergeCell ref="A392:A407"/>
    <mergeCell ref="B155:C155"/>
    <mergeCell ref="D155:H155"/>
    <mergeCell ref="A119:A154"/>
    <mergeCell ref="D119:F119"/>
    <mergeCell ref="C154:G154"/>
    <mergeCell ref="A40:A57"/>
    <mergeCell ref="D112:F112"/>
    <mergeCell ref="C118:G118"/>
    <mergeCell ref="C113:G113"/>
    <mergeCell ref="C117:G117"/>
    <mergeCell ref="C59:G59"/>
    <mergeCell ref="C63:G63"/>
    <mergeCell ref="C62:G62"/>
    <mergeCell ref="C65:G65"/>
    <mergeCell ref="C125:G125"/>
    <mergeCell ref="C124:G124"/>
    <mergeCell ref="C74:G74"/>
    <mergeCell ref="C57:G57"/>
    <mergeCell ref="C71:G71"/>
    <mergeCell ref="C60:G60"/>
    <mergeCell ref="C41:G41"/>
    <mergeCell ref="A294:H294"/>
    <mergeCell ref="D296:F296"/>
    <mergeCell ref="C219:G219"/>
    <mergeCell ref="C222:G222"/>
    <mergeCell ref="D224:H224"/>
    <mergeCell ref="C42:G42"/>
    <mergeCell ref="C45:G45"/>
    <mergeCell ref="A274:A276"/>
    <mergeCell ref="C275:G275"/>
    <mergeCell ref="C276:G276"/>
    <mergeCell ref="C303:G303"/>
    <mergeCell ref="A726:A761"/>
    <mergeCell ref="D726:F726"/>
    <mergeCell ref="A659:A686"/>
    <mergeCell ref="D659:F659"/>
    <mergeCell ref="C686:G686"/>
    <mergeCell ref="A687:A725"/>
    <mergeCell ref="D687:F687"/>
    <mergeCell ref="C725:G725"/>
    <mergeCell ref="D231:H231"/>
    <mergeCell ref="C423:G423"/>
    <mergeCell ref="A496:A527"/>
    <mergeCell ref="D496:F496"/>
    <mergeCell ref="C527:G527"/>
    <mergeCell ref="A408:H408"/>
    <mergeCell ref="A306:H306"/>
    <mergeCell ref="A351:A356"/>
    <mergeCell ref="A308:A350"/>
    <mergeCell ref="C326:G326"/>
    <mergeCell ref="C327:G327"/>
    <mergeCell ref="C329:G329"/>
    <mergeCell ref="C330:G330"/>
    <mergeCell ref="C331:G331"/>
    <mergeCell ref="C332:G332"/>
    <mergeCell ref="C438:G438"/>
    <mergeCell ref="C439:G439"/>
    <mergeCell ref="C440:G440"/>
    <mergeCell ref="C441:G441"/>
    <mergeCell ref="C442:G442"/>
    <mergeCell ref="C414:G414"/>
    <mergeCell ref="C415:G415"/>
    <mergeCell ref="C160:G160"/>
    <mergeCell ref="D182:F182"/>
    <mergeCell ref="D199:F199"/>
    <mergeCell ref="C270:G270"/>
    <mergeCell ref="C217:G217"/>
    <mergeCell ref="A259:H259"/>
    <mergeCell ref="A261:A264"/>
    <mergeCell ref="D261:F261"/>
    <mergeCell ref="C262:G262"/>
    <mergeCell ref="C264:G264"/>
    <mergeCell ref="A235:A237"/>
    <mergeCell ref="D235:F235"/>
    <mergeCell ref="C236:G236"/>
    <mergeCell ref="A199:A204"/>
    <mergeCell ref="A208:A217"/>
    <mergeCell ref="D208:F208"/>
    <mergeCell ref="C201:G201"/>
    <mergeCell ref="A225:A230"/>
    <mergeCell ref="C245:G245"/>
    <mergeCell ref="C249:G249"/>
    <mergeCell ref="A254:A258"/>
    <mergeCell ref="D254:F254"/>
    <mergeCell ref="C258:G258"/>
    <mergeCell ref="C255:G255"/>
    <mergeCell ref="A190:A195"/>
    <mergeCell ref="D190:F190"/>
    <mergeCell ref="A196:H196"/>
    <mergeCell ref="A244:A250"/>
    <mergeCell ref="D244:F244"/>
    <mergeCell ref="C250:G250"/>
    <mergeCell ref="C226:G226"/>
    <mergeCell ref="C227:G227"/>
    <mergeCell ref="C416:G416"/>
    <mergeCell ref="C417:G417"/>
    <mergeCell ref="C418:G418"/>
    <mergeCell ref="C419:G419"/>
    <mergeCell ref="C420:G420"/>
    <mergeCell ref="C421:G421"/>
    <mergeCell ref="C422:G422"/>
    <mergeCell ref="C429:G429"/>
    <mergeCell ref="C430:G430"/>
    <mergeCell ref="C432:G432"/>
    <mergeCell ref="C433:G433"/>
    <mergeCell ref="C434:G434"/>
    <mergeCell ref="C435:G435"/>
    <mergeCell ref="C436:G436"/>
    <mergeCell ref="C437:G437"/>
    <mergeCell ref="C426:G426"/>
    <mergeCell ref="C427:G427"/>
    <mergeCell ref="C428:G428"/>
    <mergeCell ref="C424:G424"/>
    <mergeCell ref="C425:G425"/>
    <mergeCell ref="C157:G157"/>
    <mergeCell ref="C166:G166"/>
    <mergeCell ref="D198:H198"/>
    <mergeCell ref="C204:G204"/>
    <mergeCell ref="C187:G187"/>
    <mergeCell ref="D186:F186"/>
    <mergeCell ref="C192:G192"/>
    <mergeCell ref="C193:G193"/>
    <mergeCell ref="B181:C181"/>
    <mergeCell ref="C161:G161"/>
    <mergeCell ref="C162:G162"/>
    <mergeCell ref="C163:G163"/>
    <mergeCell ref="C164:G164"/>
    <mergeCell ref="C165:G165"/>
    <mergeCell ref="C169:G169"/>
    <mergeCell ref="B243:C243"/>
    <mergeCell ref="D173:F173"/>
    <mergeCell ref="C174:G174"/>
    <mergeCell ref="C175:G175"/>
    <mergeCell ref="C170:G170"/>
    <mergeCell ref="A171:H171"/>
    <mergeCell ref="A167:A170"/>
    <mergeCell ref="C168:G168"/>
    <mergeCell ref="D167:F167"/>
    <mergeCell ref="B224:C224"/>
    <mergeCell ref="C230:G230"/>
    <mergeCell ref="A182:A185"/>
    <mergeCell ref="C228:G228"/>
    <mergeCell ref="C229:G229"/>
    <mergeCell ref="A205:H205"/>
    <mergeCell ref="C189:G189"/>
    <mergeCell ref="C223:G223"/>
    <mergeCell ref="A1000:A1002"/>
    <mergeCell ref="D1000:F1000"/>
    <mergeCell ref="C1001:G1001"/>
    <mergeCell ref="C1002:G1002"/>
    <mergeCell ref="C814:G814"/>
    <mergeCell ref="C815:G815"/>
    <mergeCell ref="C817:G817"/>
    <mergeCell ref="C818:G818"/>
    <mergeCell ref="C857:G857"/>
    <mergeCell ref="C816:G816"/>
    <mergeCell ref="C861:G861"/>
    <mergeCell ref="C862:G862"/>
    <mergeCell ref="C863:G863"/>
    <mergeCell ref="C864:G864"/>
    <mergeCell ref="C865:G865"/>
    <mergeCell ref="C973:G973"/>
    <mergeCell ref="C974:G974"/>
    <mergeCell ref="C975:G975"/>
    <mergeCell ref="C976:G976"/>
    <mergeCell ref="C977:G977"/>
    <mergeCell ref="C978:G978"/>
    <mergeCell ref="C965:G965"/>
    <mergeCell ref="C966:G966"/>
    <mergeCell ref="C935:G935"/>
    <mergeCell ref="C957:G957"/>
    <mergeCell ref="C895:G895"/>
    <mergeCell ref="C896:G896"/>
    <mergeCell ref="C856:G856"/>
    <mergeCell ref="C876:G876"/>
    <mergeCell ref="A906:A908"/>
    <mergeCell ref="A929:A931"/>
    <mergeCell ref="D929:F929"/>
    <mergeCell ref="A277:A293"/>
    <mergeCell ref="C799:G799"/>
    <mergeCell ref="C800:G800"/>
    <mergeCell ref="A801:A803"/>
    <mergeCell ref="D801:F801"/>
    <mergeCell ref="C803:G803"/>
    <mergeCell ref="A828:A830"/>
    <mergeCell ref="A176:A178"/>
    <mergeCell ref="D176:F176"/>
    <mergeCell ref="C177:G177"/>
    <mergeCell ref="C178:G178"/>
    <mergeCell ref="A179:H179"/>
    <mergeCell ref="A490:A493"/>
    <mergeCell ref="D490:F490"/>
    <mergeCell ref="C491:G491"/>
    <mergeCell ref="C493:G493"/>
    <mergeCell ref="A265:A267"/>
    <mergeCell ref="A268:A270"/>
    <mergeCell ref="D268:F268"/>
    <mergeCell ref="C269:G269"/>
    <mergeCell ref="C284:G284"/>
    <mergeCell ref="C285:G285"/>
    <mergeCell ref="A271:A273"/>
    <mergeCell ref="D271:F271"/>
    <mergeCell ref="C210:G210"/>
    <mergeCell ref="C211:G211"/>
    <mergeCell ref="C212:G212"/>
    <mergeCell ref="C213:G213"/>
    <mergeCell ref="C214:G214"/>
    <mergeCell ref="C215:G215"/>
    <mergeCell ref="C216:G216"/>
    <mergeCell ref="C221:G221"/>
    <mergeCell ref="C443:G443"/>
    <mergeCell ref="C444:G444"/>
    <mergeCell ref="C446:G446"/>
    <mergeCell ref="C450:G450"/>
    <mergeCell ref="C451:G451"/>
    <mergeCell ref="C453:G453"/>
    <mergeCell ref="C811:G811"/>
    <mergeCell ref="C812:G812"/>
    <mergeCell ref="C472:G472"/>
    <mergeCell ref="C473:G473"/>
    <mergeCell ref="C474:G474"/>
    <mergeCell ref="C477:G477"/>
    <mergeCell ref="C478:G478"/>
    <mergeCell ref="C479:G479"/>
    <mergeCell ref="C480:G480"/>
    <mergeCell ref="C481:G481"/>
    <mergeCell ref="C482:G482"/>
    <mergeCell ref="C483:G483"/>
    <mergeCell ref="C484:G484"/>
    <mergeCell ref="C485:G485"/>
    <mergeCell ref="C486:G486"/>
    <mergeCell ref="C487:G487"/>
    <mergeCell ref="A808:H808"/>
    <mergeCell ref="C465:G465"/>
    <mergeCell ref="C466:G466"/>
    <mergeCell ref="C467:G467"/>
    <mergeCell ref="C469:G469"/>
    <mergeCell ref="C470:G470"/>
    <mergeCell ref="C471:G471"/>
    <mergeCell ref="C445:G445"/>
    <mergeCell ref="C660:G660"/>
    <mergeCell ref="C661:G661"/>
    <mergeCell ref="D277:F277"/>
    <mergeCell ref="C293:G293"/>
    <mergeCell ref="C278:G278"/>
    <mergeCell ref="C279:G279"/>
    <mergeCell ref="C280:G280"/>
    <mergeCell ref="C281:G281"/>
    <mergeCell ref="C282:G282"/>
    <mergeCell ref="C283:G283"/>
    <mergeCell ref="C286:G286"/>
    <mergeCell ref="C287:G287"/>
    <mergeCell ref="C288:G288"/>
    <mergeCell ref="C289:G289"/>
    <mergeCell ref="C290:G290"/>
    <mergeCell ref="C457:G457"/>
    <mergeCell ref="C458:G458"/>
    <mergeCell ref="C813:G813"/>
    <mergeCell ref="C273:G273"/>
    <mergeCell ref="C506:G506"/>
    <mergeCell ref="C507:G507"/>
    <mergeCell ref="C508:G508"/>
    <mergeCell ref="C509:G509"/>
    <mergeCell ref="C497:G497"/>
    <mergeCell ref="C498:G498"/>
    <mergeCell ref="C669:G669"/>
    <mergeCell ref="C670:G670"/>
    <mergeCell ref="C671:G671"/>
    <mergeCell ref="C672:G672"/>
    <mergeCell ref="C673:G673"/>
    <mergeCell ref="C674:G674"/>
    <mergeCell ref="C675:G675"/>
    <mergeCell ref="C676:G676"/>
    <mergeCell ref="C677:G677"/>
    <mergeCell ref="C256:G256"/>
    <mergeCell ref="D243:H243"/>
    <mergeCell ref="C272:G272"/>
    <mergeCell ref="D798:F798"/>
    <mergeCell ref="C454:G454"/>
    <mergeCell ref="C413:G413"/>
    <mergeCell ref="C459:G459"/>
    <mergeCell ref="C460:G460"/>
    <mergeCell ref="C461:G461"/>
    <mergeCell ref="C462:G462"/>
    <mergeCell ref="C463:G463"/>
    <mergeCell ref="C464:G464"/>
    <mergeCell ref="C652:G652"/>
    <mergeCell ref="C654:G654"/>
    <mergeCell ref="C655:G655"/>
    <mergeCell ref="C653:G653"/>
    <mergeCell ref="C621:G621"/>
    <mergeCell ref="C622:G622"/>
    <mergeCell ref="C624:G624"/>
    <mergeCell ref="C625:G625"/>
    <mergeCell ref="C626:G626"/>
    <mergeCell ref="C627:G627"/>
    <mergeCell ref="C628:G628"/>
    <mergeCell ref="C629:G629"/>
    <mergeCell ref="C597:G597"/>
    <mergeCell ref="C613:G613"/>
    <mergeCell ref="C476:G476"/>
    <mergeCell ref="D528:F528"/>
    <mergeCell ref="C510:G510"/>
    <mergeCell ref="C511:G511"/>
    <mergeCell ref="C512:G512"/>
    <mergeCell ref="C513:G513"/>
    <mergeCell ref="C662:G662"/>
    <mergeCell ref="C663:G663"/>
    <mergeCell ref="C664:G664"/>
    <mergeCell ref="C665:G665"/>
    <mergeCell ref="C666:G666"/>
    <mergeCell ref="C667:G667"/>
    <mergeCell ref="C668:G668"/>
    <mergeCell ref="C678:G678"/>
    <mergeCell ref="C679:G679"/>
    <mergeCell ref="C680:G680"/>
    <mergeCell ref="C681:G681"/>
    <mergeCell ref="C682:G682"/>
    <mergeCell ref="C683:G683"/>
    <mergeCell ref="C684:G684"/>
    <mergeCell ref="C685:G685"/>
    <mergeCell ref="C727:G727"/>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690:G690"/>
    <mergeCell ref="C688:G688"/>
    <mergeCell ref="C689:G689"/>
    <mergeCell ref="C691:G691"/>
    <mergeCell ref="C694:G694"/>
    <mergeCell ref="C695:G695"/>
    <mergeCell ref="C696:G696"/>
    <mergeCell ref="C697:G697"/>
    <mergeCell ref="C698:G698"/>
    <mergeCell ref="C699:G699"/>
    <mergeCell ref="C700:G700"/>
    <mergeCell ref="C701:G701"/>
    <mergeCell ref="C702:G702"/>
    <mergeCell ref="C703:G703"/>
    <mergeCell ref="C747:G747"/>
    <mergeCell ref="C748:G748"/>
    <mergeCell ref="C749:G749"/>
    <mergeCell ref="C737:G737"/>
    <mergeCell ref="C738:G738"/>
    <mergeCell ref="C739:G739"/>
    <mergeCell ref="C740:G740"/>
    <mergeCell ref="C742:G742"/>
    <mergeCell ref="C743:G743"/>
    <mergeCell ref="C744:G744"/>
    <mergeCell ref="C745:G745"/>
    <mergeCell ref="C746:G746"/>
    <mergeCell ref="C728:G728"/>
    <mergeCell ref="C729:G729"/>
    <mergeCell ref="C730:G730"/>
    <mergeCell ref="C731:G731"/>
    <mergeCell ref="C732:G732"/>
    <mergeCell ref="C733:G733"/>
    <mergeCell ref="C777:G777"/>
    <mergeCell ref="C778:G778"/>
    <mergeCell ref="C779:G779"/>
    <mergeCell ref="C780:G780"/>
    <mergeCell ref="C763:G763"/>
    <mergeCell ref="C764:G764"/>
    <mergeCell ref="C765:G765"/>
    <mergeCell ref="C766:G766"/>
    <mergeCell ref="C767:G767"/>
    <mergeCell ref="C768:G768"/>
    <mergeCell ref="C769:G769"/>
    <mergeCell ref="C770:G770"/>
    <mergeCell ref="C771:G771"/>
    <mergeCell ref="C755:G755"/>
    <mergeCell ref="C756:G756"/>
    <mergeCell ref="C692:G692"/>
    <mergeCell ref="C757:G757"/>
    <mergeCell ref="C758:G758"/>
    <mergeCell ref="C759:G759"/>
    <mergeCell ref="C750:G750"/>
    <mergeCell ref="C751:G751"/>
    <mergeCell ref="C752:G752"/>
    <mergeCell ref="C753:G753"/>
    <mergeCell ref="C754:G754"/>
    <mergeCell ref="C734:G734"/>
    <mergeCell ref="C735:G735"/>
    <mergeCell ref="C736:G736"/>
    <mergeCell ref="C796:G796"/>
    <mergeCell ref="C593:G593"/>
    <mergeCell ref="C594:G594"/>
    <mergeCell ref="C595:G595"/>
    <mergeCell ref="C596:G596"/>
    <mergeCell ref="C598:G598"/>
    <mergeCell ref="C599:G599"/>
    <mergeCell ref="C600:G600"/>
    <mergeCell ref="C601:G601"/>
    <mergeCell ref="C602:G602"/>
    <mergeCell ref="C603:G603"/>
    <mergeCell ref="C612:G612"/>
    <mergeCell ref="C614:G614"/>
    <mergeCell ref="C615:G615"/>
    <mergeCell ref="C607:G607"/>
    <mergeCell ref="C617:G617"/>
    <mergeCell ref="C618:G618"/>
    <mergeCell ref="C619:G619"/>
    <mergeCell ref="C781:G781"/>
    <mergeCell ref="C782:G782"/>
    <mergeCell ref="C783:G783"/>
    <mergeCell ref="C784:G784"/>
    <mergeCell ref="C785:G785"/>
    <mergeCell ref="C786:G786"/>
    <mergeCell ref="C787:G787"/>
    <mergeCell ref="C788:G788"/>
    <mergeCell ref="C789:G789"/>
    <mergeCell ref="C772:G772"/>
    <mergeCell ref="C773:G773"/>
    <mergeCell ref="C774:G774"/>
    <mergeCell ref="C775:G775"/>
    <mergeCell ref="C776:G776"/>
    <mergeCell ref="C945:G945"/>
    <mergeCell ref="C946:G946"/>
    <mergeCell ref="C947:G947"/>
    <mergeCell ref="C948:G948"/>
    <mergeCell ref="C949:G949"/>
    <mergeCell ref="C988:G988"/>
    <mergeCell ref="C989:G989"/>
    <mergeCell ref="C990:G990"/>
    <mergeCell ref="C991:G991"/>
    <mergeCell ref="C992:G992"/>
    <mergeCell ref="C993:G993"/>
    <mergeCell ref="C994:G994"/>
    <mergeCell ref="C995:G995"/>
    <mergeCell ref="C979:G979"/>
    <mergeCell ref="C980:G980"/>
    <mergeCell ref="C981:G981"/>
    <mergeCell ref="C982:G982"/>
    <mergeCell ref="C983:G983"/>
    <mergeCell ref="C984:G984"/>
    <mergeCell ref="C985:G985"/>
    <mergeCell ref="C986:G986"/>
    <mergeCell ref="C987:G987"/>
    <mergeCell ref="C972:G972"/>
    <mergeCell ref="D968:F968"/>
    <mergeCell ref="C970:G970"/>
    <mergeCell ref="C969:G969"/>
    <mergeCell ref="C952:G952"/>
    <mergeCell ref="C240:G240"/>
    <mergeCell ref="C246:G246"/>
    <mergeCell ref="C247:G247"/>
    <mergeCell ref="C248:G248"/>
    <mergeCell ref="A804:A807"/>
    <mergeCell ref="D804:F804"/>
    <mergeCell ref="C806:G806"/>
    <mergeCell ref="C807:G807"/>
    <mergeCell ref="C805:G805"/>
    <mergeCell ref="A251:A253"/>
    <mergeCell ref="D251:F251"/>
    <mergeCell ref="C252:G252"/>
    <mergeCell ref="C253:G253"/>
    <mergeCell ref="C936:G936"/>
    <mergeCell ref="C937:G937"/>
    <mergeCell ref="C938:G938"/>
    <mergeCell ref="C944:G944"/>
    <mergeCell ref="C942:G942"/>
    <mergeCell ref="C719:G719"/>
    <mergeCell ref="C720:G720"/>
    <mergeCell ref="C721:G721"/>
    <mergeCell ref="C722:G722"/>
    <mergeCell ref="C723:G723"/>
    <mergeCell ref="C724:G724"/>
    <mergeCell ref="C526:G526"/>
    <mergeCell ref="C558:G558"/>
    <mergeCell ref="C790:G790"/>
    <mergeCell ref="C791:G791"/>
    <mergeCell ref="C792:G792"/>
    <mergeCell ref="C793:G793"/>
    <mergeCell ref="C794:G794"/>
    <mergeCell ref="C795:G795"/>
  </mergeCells>
  <phoneticPr fontId="15" type="noConversion"/>
  <pageMargins left="0.2" right="0.13" top="0.44" bottom="0.57999999999999996" header="0.3" footer="0.3"/>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58"/>
  <sheetViews>
    <sheetView zoomScale="90" zoomScaleNormal="90" workbookViewId="0">
      <selection sqref="A1:I58"/>
    </sheetView>
  </sheetViews>
  <sheetFormatPr defaultRowHeight="14.25"/>
  <cols>
    <col min="1" max="1" width="4.875" bestFit="1" customWidth="1"/>
    <col min="2" max="2" width="46.5" bestFit="1" customWidth="1"/>
    <col min="3" max="3" width="12.75" bestFit="1" customWidth="1"/>
    <col min="4" max="4" width="8.375" bestFit="1" customWidth="1"/>
    <col min="5" max="8" width="12.125" bestFit="1" customWidth="1"/>
    <col min="9" max="9" width="12.25" bestFit="1" customWidth="1"/>
    <col min="10" max="10" width="13.75" bestFit="1" customWidth="1"/>
    <col min="11" max="11" width="8.625" customWidth="1"/>
    <col min="12" max="12" width="10.75" bestFit="1" customWidth="1"/>
    <col min="13" max="1022" width="8.625" customWidth="1"/>
  </cols>
  <sheetData>
    <row r="1" spans="1:1024">
      <c r="A1" s="381"/>
      <c r="B1" s="381"/>
      <c r="C1" s="381"/>
      <c r="D1" s="381"/>
      <c r="E1" s="381"/>
      <c r="F1" s="381"/>
      <c r="G1" s="381"/>
      <c r="H1" s="381"/>
      <c r="I1" s="381"/>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c r="A2" s="381"/>
      <c r="B2" s="381"/>
      <c r="C2" s="381"/>
      <c r="D2" s="381"/>
      <c r="E2" s="381"/>
      <c r="F2" s="381"/>
      <c r="G2" s="381"/>
      <c r="H2" s="381"/>
      <c r="I2" s="381"/>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c r="A3" s="381"/>
      <c r="B3" s="381"/>
      <c r="C3" s="381"/>
      <c r="D3" s="381"/>
      <c r="E3" s="381"/>
      <c r="F3" s="381"/>
      <c r="G3" s="381"/>
      <c r="H3" s="381"/>
      <c r="I3" s="381"/>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row>
    <row r="4" spans="1:1024">
      <c r="A4" s="381"/>
      <c r="B4" s="381"/>
      <c r="C4" s="381"/>
      <c r="D4" s="381"/>
      <c r="E4" s="381"/>
      <c r="F4" s="381"/>
      <c r="G4" s="381"/>
      <c r="H4" s="381"/>
      <c r="I4" s="381"/>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row>
    <row r="5" spans="1:1024" ht="15">
      <c r="A5" s="389" t="s">
        <v>87</v>
      </c>
      <c r="B5" s="389"/>
      <c r="C5" s="389"/>
      <c r="D5" s="389"/>
      <c r="E5" s="389"/>
      <c r="F5" s="389"/>
      <c r="G5" s="389"/>
      <c r="H5" s="389"/>
      <c r="I5" s="389"/>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row>
    <row r="6" spans="1:1024" s="43" customFormat="1" ht="15">
      <c r="A6" s="392" t="str">
        <f>'PLANILHA ORÇAMENTARIA'!A8:D8</f>
        <v>OBRA: REFORMA E.M. PROF. IONYR BASTOS DIAS</v>
      </c>
      <c r="B6" s="392"/>
      <c r="C6" s="392"/>
      <c r="D6" s="392"/>
      <c r="E6" s="392"/>
      <c r="F6" s="392"/>
      <c r="G6" s="46" t="s">
        <v>183</v>
      </c>
      <c r="H6" s="123">
        <v>1</v>
      </c>
      <c r="I6" s="122" t="s">
        <v>182</v>
      </c>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row>
    <row r="7" spans="1:1024" s="43" customFormat="1" ht="15">
      <c r="A7" s="388" t="str">
        <f>'PLANILHA ORÇAMENTARIA'!A9:G9</f>
        <v>ENDEREÇO: AV. SANTA CATARINA, 75 - VALE VERDE, MURIAÉ - MG</v>
      </c>
      <c r="B7" s="388"/>
      <c r="C7" s="388"/>
      <c r="D7" s="388"/>
      <c r="E7" s="388"/>
      <c r="F7" s="388"/>
      <c r="G7" s="388"/>
      <c r="H7" s="59"/>
      <c r="I7" s="90">
        <f>'PLANILHA ORÇAMENTARIA'!I9</f>
        <v>44159</v>
      </c>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row>
    <row r="8" spans="1:1024" s="43" customFormat="1" ht="15">
      <c r="A8" s="391" t="str">
        <f>'PLANILHA ORÇAMENTARIA'!A10:G10</f>
        <v>BASE DE PREÇO: ABRIL-2020/SETOP, JULHO-2020/SINAPI E OUTRAS FONTES DE PESQUISA DE PREÇO.</v>
      </c>
      <c r="B8" s="391"/>
      <c r="C8" s="391"/>
      <c r="D8" s="391"/>
      <c r="E8" s="391"/>
      <c r="F8" s="391"/>
      <c r="G8" s="391"/>
      <c r="H8" s="139" t="s">
        <v>0</v>
      </c>
      <c r="I8" s="89">
        <f>'PLANILHA ORÇAMENTARIA'!I10</f>
        <v>0.2223</v>
      </c>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row>
    <row r="9" spans="1:1024" ht="15">
      <c r="A9" s="393" t="s">
        <v>2</v>
      </c>
      <c r="B9" s="393" t="s">
        <v>5</v>
      </c>
      <c r="C9" s="393" t="s">
        <v>8</v>
      </c>
      <c r="D9" s="393" t="s">
        <v>69</v>
      </c>
      <c r="E9" s="390" t="s">
        <v>68</v>
      </c>
      <c r="F9" s="390"/>
      <c r="G9" s="390"/>
      <c r="H9" s="390"/>
      <c r="I9" s="390"/>
    </row>
    <row r="10" spans="1:1024">
      <c r="A10" s="393"/>
      <c r="B10" s="393"/>
      <c r="C10" s="393"/>
      <c r="D10" s="393"/>
      <c r="E10" s="124" t="s">
        <v>184</v>
      </c>
      <c r="F10" s="124" t="s">
        <v>185</v>
      </c>
      <c r="G10" s="124" t="s">
        <v>186</v>
      </c>
      <c r="H10" s="124" t="s">
        <v>187</v>
      </c>
      <c r="I10" s="124" t="s">
        <v>188</v>
      </c>
    </row>
    <row r="11" spans="1:1024">
      <c r="A11" s="117">
        <v>1</v>
      </c>
      <c r="B11" s="129" t="s">
        <v>9</v>
      </c>
      <c r="C11" s="114">
        <f>'PLANILHA ORÇAMENTARIA'!I14</f>
        <v>0</v>
      </c>
      <c r="D11" s="115">
        <f>C11/C48*100%</f>
        <v>0</v>
      </c>
      <c r="E11" s="116">
        <v>1</v>
      </c>
      <c r="F11" s="116"/>
      <c r="G11" s="116"/>
      <c r="H11" s="116"/>
      <c r="I11" s="116"/>
      <c r="J11" s="20">
        <f>SUM(E11:I11)</f>
        <v>1</v>
      </c>
    </row>
    <row r="12" spans="1:1024">
      <c r="A12" s="18"/>
      <c r="B12" s="15"/>
      <c r="C12" s="16"/>
      <c r="D12" s="14"/>
      <c r="E12" s="17">
        <f>E11*$C11</f>
        <v>0</v>
      </c>
      <c r="F12" s="17"/>
      <c r="G12" s="17"/>
      <c r="H12" s="17"/>
      <c r="I12" s="17"/>
      <c r="J12" s="119"/>
    </row>
    <row r="13" spans="1:1024">
      <c r="A13" s="117">
        <v>2</v>
      </c>
      <c r="B13" s="130" t="s">
        <v>93</v>
      </c>
      <c r="C13" s="114">
        <f>'PLANILHA ORÇAMENTARIA'!I18</f>
        <v>0</v>
      </c>
      <c r="D13" s="115">
        <f>C13/C48*100%</f>
        <v>0</v>
      </c>
      <c r="E13" s="118">
        <v>0.7</v>
      </c>
      <c r="F13" s="118">
        <v>0.3</v>
      </c>
      <c r="G13" s="118"/>
      <c r="H13" s="118"/>
      <c r="I13" s="118"/>
      <c r="J13" s="20">
        <f>SUM(E13:I13)</f>
        <v>1</v>
      </c>
    </row>
    <row r="14" spans="1:1024">
      <c r="A14" s="18"/>
      <c r="B14" s="15"/>
      <c r="C14" s="16"/>
      <c r="D14" s="14"/>
      <c r="E14" s="17">
        <f>E13*$C13</f>
        <v>0</v>
      </c>
      <c r="F14" s="17">
        <f>F13*$C13</f>
        <v>0</v>
      </c>
      <c r="G14" s="17"/>
      <c r="H14" s="17"/>
      <c r="I14" s="17"/>
      <c r="J14" s="119"/>
    </row>
    <row r="15" spans="1:1024">
      <c r="A15" s="117">
        <v>3</v>
      </c>
      <c r="B15" s="130" t="s">
        <v>346</v>
      </c>
      <c r="C15" s="114">
        <f>'PLANILHA ORÇAMENTARIA'!I39</f>
        <v>0</v>
      </c>
      <c r="D15" s="115">
        <f>C15/C48*100%</f>
        <v>0</v>
      </c>
      <c r="E15" s="118">
        <v>0.5</v>
      </c>
      <c r="F15" s="118">
        <v>0.5</v>
      </c>
      <c r="G15" s="118"/>
      <c r="H15" s="118"/>
      <c r="I15" s="118"/>
      <c r="J15" s="20">
        <f>SUM(E15:I15)</f>
        <v>1</v>
      </c>
    </row>
    <row r="16" spans="1:1024">
      <c r="A16" s="18"/>
      <c r="B16" s="15"/>
      <c r="C16" s="16"/>
      <c r="D16" s="14"/>
      <c r="E16" s="17">
        <f>E15*$C15</f>
        <v>0</v>
      </c>
      <c r="F16" s="17">
        <f>F15*$C15</f>
        <v>0</v>
      </c>
      <c r="G16" s="17"/>
      <c r="H16" s="17"/>
      <c r="I16" s="17"/>
      <c r="J16" s="119"/>
    </row>
    <row r="17" spans="1:10">
      <c r="A17" s="117">
        <v>4</v>
      </c>
      <c r="B17" s="130" t="s">
        <v>18</v>
      </c>
      <c r="C17" s="114">
        <f>'PLANILHA ORÇAMENTARIA'!I43</f>
        <v>0</v>
      </c>
      <c r="D17" s="115">
        <f>C17/C48*100%</f>
        <v>0</v>
      </c>
      <c r="E17" s="118"/>
      <c r="F17" s="118">
        <v>1</v>
      </c>
      <c r="G17" s="118"/>
      <c r="H17" s="118"/>
      <c r="I17" s="118"/>
      <c r="J17" s="20">
        <f>SUM(E17:I17)</f>
        <v>1</v>
      </c>
    </row>
    <row r="18" spans="1:10">
      <c r="A18" s="18"/>
      <c r="B18" s="15"/>
      <c r="C18" s="16"/>
      <c r="D18" s="14"/>
      <c r="E18" s="17"/>
      <c r="F18" s="17">
        <f>F17*$C17</f>
        <v>0</v>
      </c>
      <c r="G18" s="17"/>
      <c r="H18" s="17"/>
      <c r="I18" s="17"/>
      <c r="J18" s="119"/>
    </row>
    <row r="19" spans="1:10">
      <c r="A19" s="117">
        <v>5</v>
      </c>
      <c r="B19" s="130" t="s">
        <v>91</v>
      </c>
      <c r="C19" s="114">
        <f>'PLANILHA ORÇAMENTARIA'!I49</f>
        <v>0</v>
      </c>
      <c r="D19" s="115">
        <f>C19/C48*100%</f>
        <v>0</v>
      </c>
      <c r="E19" s="118">
        <v>0.3</v>
      </c>
      <c r="F19" s="118">
        <v>0.4</v>
      </c>
      <c r="G19" s="118">
        <v>0.3</v>
      </c>
      <c r="H19" s="118"/>
      <c r="I19" s="118"/>
      <c r="J19" s="20">
        <f>SUM(E19:I19)</f>
        <v>1</v>
      </c>
    </row>
    <row r="20" spans="1:10">
      <c r="A20" s="18"/>
      <c r="B20" s="131"/>
      <c r="C20" s="16"/>
      <c r="D20" s="14"/>
      <c r="E20" s="17">
        <f>E19*$C19</f>
        <v>0</v>
      </c>
      <c r="F20" s="17">
        <f t="shared" ref="F20:G20" si="0">F19*$C19</f>
        <v>0</v>
      </c>
      <c r="G20" s="17">
        <f t="shared" si="0"/>
        <v>0</v>
      </c>
      <c r="H20" s="17"/>
      <c r="I20" s="17"/>
      <c r="J20" s="119"/>
    </row>
    <row r="21" spans="1:10">
      <c r="A21" s="117">
        <v>6</v>
      </c>
      <c r="B21" s="132" t="s">
        <v>23</v>
      </c>
      <c r="C21" s="114">
        <f>'PLANILHA ORÇAMENTARIA'!I53</f>
        <v>0</v>
      </c>
      <c r="D21" s="115">
        <f>C21/C48*100%</f>
        <v>0</v>
      </c>
      <c r="E21" s="118">
        <v>0.3</v>
      </c>
      <c r="F21" s="118">
        <v>0.5</v>
      </c>
      <c r="G21" s="118">
        <v>0.2</v>
      </c>
      <c r="H21" s="118"/>
      <c r="I21" s="118"/>
      <c r="J21" s="20">
        <f>SUM(E21:I21)</f>
        <v>1</v>
      </c>
    </row>
    <row r="22" spans="1:10">
      <c r="A22" s="18"/>
      <c r="B22" s="131"/>
      <c r="C22" s="16"/>
      <c r="D22" s="14"/>
      <c r="E22" s="17">
        <f t="shared" ref="E22:G24" si="1">E21*$C21</f>
        <v>0</v>
      </c>
      <c r="F22" s="17">
        <f t="shared" si="1"/>
        <v>0</v>
      </c>
      <c r="G22" s="17">
        <f t="shared" si="1"/>
        <v>0</v>
      </c>
      <c r="H22" s="17"/>
      <c r="I22" s="17"/>
      <c r="J22" s="119"/>
    </row>
    <row r="23" spans="1:10">
      <c r="A23" s="117">
        <v>7</v>
      </c>
      <c r="B23" s="132" t="s">
        <v>29</v>
      </c>
      <c r="C23" s="114">
        <f>'PLANILHA ORÇAMENTARIA'!I68</f>
        <v>0</v>
      </c>
      <c r="D23" s="115">
        <f>C23/C48*100%</f>
        <v>0</v>
      </c>
      <c r="E23" s="118">
        <v>0.1</v>
      </c>
      <c r="F23" s="118">
        <v>0.3</v>
      </c>
      <c r="G23" s="118">
        <v>0.3</v>
      </c>
      <c r="H23" s="118">
        <v>0.3</v>
      </c>
      <c r="I23" s="118"/>
      <c r="J23" s="20">
        <f>SUM(E23:I23)</f>
        <v>1</v>
      </c>
    </row>
    <row r="24" spans="1:10">
      <c r="A24" s="18"/>
      <c r="B24" s="131"/>
      <c r="C24" s="16"/>
      <c r="D24" s="14"/>
      <c r="E24" s="17">
        <f t="shared" si="1"/>
        <v>0</v>
      </c>
      <c r="F24" s="17">
        <f t="shared" si="1"/>
        <v>0</v>
      </c>
      <c r="G24" s="17">
        <f t="shared" ref="G24" si="2">G23*$C23</f>
        <v>0</v>
      </c>
      <c r="H24" s="17">
        <f t="shared" ref="H24" si="3">H23*$C23</f>
        <v>0</v>
      </c>
      <c r="I24" s="17"/>
      <c r="J24" s="119"/>
    </row>
    <row r="25" spans="1:10">
      <c r="A25" s="117">
        <v>8</v>
      </c>
      <c r="B25" s="132" t="s">
        <v>31</v>
      </c>
      <c r="C25" s="114">
        <f>'PLANILHA ORÇAMENTARIA'!I76</f>
        <v>0</v>
      </c>
      <c r="D25" s="115">
        <f>C25/C48*100%</f>
        <v>0</v>
      </c>
      <c r="E25" s="118"/>
      <c r="F25" s="118">
        <v>0.5</v>
      </c>
      <c r="G25" s="118">
        <v>0.5</v>
      </c>
      <c r="H25" s="118"/>
      <c r="I25" s="118"/>
      <c r="J25" s="20">
        <f>SUM(E25:I25)</f>
        <v>1</v>
      </c>
    </row>
    <row r="26" spans="1:10">
      <c r="A26" s="18"/>
      <c r="B26" s="131"/>
      <c r="C26" s="16"/>
      <c r="D26" s="14"/>
      <c r="E26" s="17"/>
      <c r="F26" s="17">
        <f t="shared" ref="F26" si="4">F25*$C25</f>
        <v>0</v>
      </c>
      <c r="G26" s="17">
        <f t="shared" ref="G26" si="5">G25*$C25</f>
        <v>0</v>
      </c>
      <c r="H26" s="17"/>
      <c r="I26" s="17"/>
      <c r="J26" s="119"/>
    </row>
    <row r="27" spans="1:10">
      <c r="A27" s="117">
        <v>9</v>
      </c>
      <c r="B27" s="132" t="s">
        <v>163</v>
      </c>
      <c r="C27" s="114">
        <f>'PLANILHA ORÇAMENTARIA'!I79</f>
        <v>0</v>
      </c>
      <c r="D27" s="115">
        <f>C27/C48*100%</f>
        <v>0</v>
      </c>
      <c r="E27" s="118">
        <v>0.2</v>
      </c>
      <c r="F27" s="118">
        <v>0.3</v>
      </c>
      <c r="G27" s="118">
        <v>0.3</v>
      </c>
      <c r="H27" s="118">
        <v>0.2</v>
      </c>
      <c r="I27" s="118"/>
      <c r="J27" s="20">
        <f>SUM(E27:I27)</f>
        <v>1</v>
      </c>
    </row>
    <row r="28" spans="1:10">
      <c r="A28" s="18"/>
      <c r="B28" s="131"/>
      <c r="C28" s="16"/>
      <c r="D28" s="14"/>
      <c r="E28" s="17">
        <f t="shared" ref="E28" si="6">E27*$C27</f>
        <v>0</v>
      </c>
      <c r="F28" s="17">
        <f t="shared" ref="F28:H28" si="7">F27*$C27</f>
        <v>0</v>
      </c>
      <c r="G28" s="17">
        <f t="shared" si="7"/>
        <v>0</v>
      </c>
      <c r="H28" s="17">
        <f t="shared" si="7"/>
        <v>0</v>
      </c>
      <c r="I28" s="17"/>
      <c r="J28" s="119"/>
    </row>
    <row r="29" spans="1:10">
      <c r="A29" s="117">
        <v>10</v>
      </c>
      <c r="B29" s="132" t="s">
        <v>83</v>
      </c>
      <c r="C29" s="114">
        <f>'PLANILHA ORÇAMENTARIA'!I86</f>
        <v>0</v>
      </c>
      <c r="D29" s="115">
        <f>C29/C48*100%</f>
        <v>0</v>
      </c>
      <c r="E29" s="118"/>
      <c r="F29" s="118">
        <v>0.3</v>
      </c>
      <c r="G29" s="118">
        <v>0.3</v>
      </c>
      <c r="H29" s="118">
        <v>0.3</v>
      </c>
      <c r="I29" s="118">
        <v>0.1</v>
      </c>
      <c r="J29" s="20">
        <f>SUM(E29:I29)</f>
        <v>0.99999999999999989</v>
      </c>
    </row>
    <row r="30" spans="1:10">
      <c r="A30" s="18"/>
      <c r="B30" s="131"/>
      <c r="C30" s="16"/>
      <c r="D30" s="14"/>
      <c r="E30" s="17"/>
      <c r="F30" s="17">
        <f t="shared" ref="F30" si="8">F29*$C29</f>
        <v>0</v>
      </c>
      <c r="G30" s="17">
        <f t="shared" ref="G30" si="9">G29*$C29</f>
        <v>0</v>
      </c>
      <c r="H30" s="17">
        <f t="shared" ref="H30:I30" si="10">H29*$C29</f>
        <v>0</v>
      </c>
      <c r="I30" s="17">
        <f t="shared" si="10"/>
        <v>0</v>
      </c>
      <c r="J30" s="119"/>
    </row>
    <row r="31" spans="1:10">
      <c r="A31" s="117">
        <v>11</v>
      </c>
      <c r="B31" s="132" t="s">
        <v>41</v>
      </c>
      <c r="C31" s="114">
        <f>'PLANILHA ORÇAMENTARIA'!I94</f>
        <v>0</v>
      </c>
      <c r="D31" s="115">
        <f>C31/C48*100%</f>
        <v>0</v>
      </c>
      <c r="E31" s="118"/>
      <c r="F31" s="118"/>
      <c r="G31" s="118">
        <v>0.4</v>
      </c>
      <c r="H31" s="118">
        <v>0.3</v>
      </c>
      <c r="I31" s="118">
        <v>0.3</v>
      </c>
      <c r="J31" s="20">
        <f>SUM(E31:I31)</f>
        <v>1</v>
      </c>
    </row>
    <row r="32" spans="1:10">
      <c r="A32" s="18"/>
      <c r="B32" s="131"/>
      <c r="C32" s="16"/>
      <c r="D32" s="14"/>
      <c r="E32" s="17"/>
      <c r="F32" s="17"/>
      <c r="G32" s="17">
        <f t="shared" ref="G32" si="11">G31*$C31</f>
        <v>0</v>
      </c>
      <c r="H32" s="17">
        <f t="shared" ref="H32" si="12">H31*$C31</f>
        <v>0</v>
      </c>
      <c r="I32" s="17">
        <f t="shared" ref="I32" si="13">I31*$C31</f>
        <v>0</v>
      </c>
      <c r="J32" s="119"/>
    </row>
    <row r="33" spans="1:11">
      <c r="A33" s="117">
        <v>12</v>
      </c>
      <c r="B33" s="132" t="s">
        <v>44</v>
      </c>
      <c r="C33" s="114">
        <f>'PLANILHA ORÇAMENTARIA'!I108</f>
        <v>2176.6</v>
      </c>
      <c r="D33" s="115">
        <f>C33/C48*100%</f>
        <v>1.5147586317093278E-2</v>
      </c>
      <c r="E33" s="118"/>
      <c r="F33" s="118"/>
      <c r="G33" s="118">
        <v>0.3</v>
      </c>
      <c r="H33" s="118">
        <v>0.3</v>
      </c>
      <c r="I33" s="118">
        <v>0.4</v>
      </c>
      <c r="J33" s="20">
        <f>SUM(E33:I33)</f>
        <v>1</v>
      </c>
    </row>
    <row r="34" spans="1:11">
      <c r="A34" s="18"/>
      <c r="B34" s="131"/>
      <c r="C34" s="16"/>
      <c r="D34" s="14"/>
      <c r="E34" s="17"/>
      <c r="F34" s="17"/>
      <c r="G34" s="17">
        <f t="shared" ref="G34:I34" si="14">G33*$C33</f>
        <v>652.9799999999999</v>
      </c>
      <c r="H34" s="17">
        <f t="shared" si="14"/>
        <v>652.9799999999999</v>
      </c>
      <c r="I34" s="17">
        <f t="shared" si="14"/>
        <v>870.64</v>
      </c>
      <c r="J34" s="119"/>
    </row>
    <row r="35" spans="1:11">
      <c r="A35" s="117">
        <v>13</v>
      </c>
      <c r="B35" s="133" t="s">
        <v>46</v>
      </c>
      <c r="C35" s="114">
        <f>'PLANILHA ORÇAMENTARIA'!I111</f>
        <v>11477.91</v>
      </c>
      <c r="D35" s="115">
        <f>C35/C48*100%</f>
        <v>7.9878081624932526E-2</v>
      </c>
      <c r="E35" s="118"/>
      <c r="F35" s="118"/>
      <c r="G35" s="118">
        <v>0.5</v>
      </c>
      <c r="H35" s="118">
        <v>0.5</v>
      </c>
      <c r="I35" s="118"/>
      <c r="J35" s="20">
        <f>SUM(E35:I35)</f>
        <v>1</v>
      </c>
    </row>
    <row r="36" spans="1:11">
      <c r="A36" s="18"/>
      <c r="B36" s="131"/>
      <c r="C36" s="16"/>
      <c r="D36" s="14"/>
      <c r="E36" s="17"/>
      <c r="F36" s="17"/>
      <c r="G36" s="17">
        <f t="shared" ref="G36" si="15">G35*$C35</f>
        <v>5738.9549999999999</v>
      </c>
      <c r="H36" s="17">
        <f t="shared" ref="H36" si="16">H35*$C35</f>
        <v>5738.9549999999999</v>
      </c>
      <c r="I36" s="17"/>
      <c r="J36" s="119"/>
    </row>
    <row r="37" spans="1:11">
      <c r="A37" s="117">
        <v>14</v>
      </c>
      <c r="B37" s="132" t="s">
        <v>48</v>
      </c>
      <c r="C37" s="114">
        <f>'PLANILHA ORÇAMENTARIA'!I116</f>
        <v>1223.8800000000001</v>
      </c>
      <c r="D37" s="115">
        <f>C37/C48*100%</f>
        <v>8.517333429093138E-3</v>
      </c>
      <c r="E37" s="118"/>
      <c r="F37" s="118"/>
      <c r="G37" s="118">
        <v>0.4</v>
      </c>
      <c r="H37" s="118">
        <v>0.3</v>
      </c>
      <c r="I37" s="118">
        <v>0.3</v>
      </c>
      <c r="J37" s="20">
        <f>SUM(E37:I37)</f>
        <v>1</v>
      </c>
    </row>
    <row r="38" spans="1:11">
      <c r="A38" s="18"/>
      <c r="B38" s="131"/>
      <c r="C38" s="16"/>
      <c r="D38" s="14"/>
      <c r="E38" s="17"/>
      <c r="F38" s="17"/>
      <c r="G38" s="17">
        <f t="shared" ref="G38" si="17">G37*$C37</f>
        <v>489.55200000000008</v>
      </c>
      <c r="H38" s="17">
        <f t="shared" ref="H38" si="18">H37*$C37</f>
        <v>367.16400000000004</v>
      </c>
      <c r="I38" s="17">
        <f t="shared" ref="I38" si="19">I37*$C37</f>
        <v>367.16400000000004</v>
      </c>
      <c r="J38" s="119"/>
    </row>
    <row r="39" spans="1:11">
      <c r="A39" s="117">
        <v>15</v>
      </c>
      <c r="B39" s="132" t="s">
        <v>50</v>
      </c>
      <c r="C39" s="114">
        <f>'PLANILHA ORÇAMENTARIA'!I120</f>
        <v>18173.149999999994</v>
      </c>
      <c r="D39" s="115">
        <f>C39/C48*100%</f>
        <v>0.12647218518721109</v>
      </c>
      <c r="E39" s="118"/>
      <c r="F39" s="118"/>
      <c r="G39" s="118">
        <v>0.4</v>
      </c>
      <c r="H39" s="118">
        <v>0.3</v>
      </c>
      <c r="I39" s="118">
        <v>0.3</v>
      </c>
      <c r="J39" s="20">
        <f>SUM(E39:I39)</f>
        <v>1</v>
      </c>
    </row>
    <row r="40" spans="1:11">
      <c r="A40" s="18"/>
      <c r="B40" s="131"/>
      <c r="C40" s="16"/>
      <c r="D40" s="14"/>
      <c r="E40" s="17"/>
      <c r="F40" s="17"/>
      <c r="G40" s="17">
        <f t="shared" ref="G40:I40" si="20">G39*$C39</f>
        <v>7269.2599999999984</v>
      </c>
      <c r="H40" s="17">
        <f t="shared" si="20"/>
        <v>5451.9449999999979</v>
      </c>
      <c r="I40" s="17">
        <f t="shared" si="20"/>
        <v>5451.9449999999979</v>
      </c>
      <c r="J40" s="119"/>
    </row>
    <row r="41" spans="1:11">
      <c r="A41" s="117">
        <v>16</v>
      </c>
      <c r="B41" s="132" t="s">
        <v>60</v>
      </c>
      <c r="C41" s="114">
        <f>'PLANILHA ORÇAMENTARIA'!I142</f>
        <v>9410.8499999999985</v>
      </c>
      <c r="D41" s="115">
        <f>C41/C48*100%</f>
        <v>6.5492815718192252E-2</v>
      </c>
      <c r="E41" s="118"/>
      <c r="F41" s="118"/>
      <c r="G41" s="118"/>
      <c r="H41" s="118">
        <v>0.3</v>
      </c>
      <c r="I41" s="118">
        <v>0.7</v>
      </c>
      <c r="J41" s="20">
        <f>SUM(E41:I41)</f>
        <v>1</v>
      </c>
    </row>
    <row r="42" spans="1:11">
      <c r="A42" s="18"/>
      <c r="B42" s="131"/>
      <c r="C42" s="16"/>
      <c r="D42" s="14"/>
      <c r="E42" s="17"/>
      <c r="F42" s="17"/>
      <c r="G42" s="17"/>
      <c r="H42" s="17">
        <f t="shared" ref="H42" si="21">H41*$C41</f>
        <v>2823.2549999999997</v>
      </c>
      <c r="I42" s="17">
        <f t="shared" ref="I42" si="22">I41*$C41</f>
        <v>6587.5949999999984</v>
      </c>
      <c r="J42" s="119"/>
    </row>
    <row r="43" spans="1:11">
      <c r="A43" s="117">
        <v>17</v>
      </c>
      <c r="B43" s="132" t="s">
        <v>61</v>
      </c>
      <c r="C43" s="114">
        <f>'PLANILHA ORÇAMENTARIA'!I147</f>
        <v>99385.47</v>
      </c>
      <c r="D43" s="115">
        <f>C43/C48*100%</f>
        <v>0.69165211131576065</v>
      </c>
      <c r="E43" s="118"/>
      <c r="F43" s="118">
        <v>0.1</v>
      </c>
      <c r="G43" s="118">
        <v>0.2</v>
      </c>
      <c r="H43" s="118">
        <v>0.3</v>
      </c>
      <c r="I43" s="118">
        <v>0.4</v>
      </c>
      <c r="J43" s="20">
        <f>SUM(E43:I43)</f>
        <v>1</v>
      </c>
    </row>
    <row r="44" spans="1:11">
      <c r="A44" s="15"/>
      <c r="B44" s="131"/>
      <c r="C44" s="16"/>
      <c r="D44" s="14"/>
      <c r="E44" s="17"/>
      <c r="F44" s="17">
        <f t="shared" ref="F44" si="23">F43*$C43</f>
        <v>9938.5470000000005</v>
      </c>
      <c r="G44" s="17">
        <f t="shared" ref="G44" si="24">G43*$C43</f>
        <v>19877.094000000001</v>
      </c>
      <c r="H44" s="17">
        <f t="shared" ref="H44" si="25">H43*$C43</f>
        <v>29815.641</v>
      </c>
      <c r="I44" s="17">
        <f t="shared" ref="I44" si="26">I43*$C43</f>
        <v>39754.188000000002</v>
      </c>
      <c r="J44" s="119"/>
    </row>
    <row r="45" spans="1:11">
      <c r="A45" s="117">
        <v>18</v>
      </c>
      <c r="B45" s="132" t="s">
        <v>64</v>
      </c>
      <c r="C45" s="114">
        <f>'PLANILHA ORÇAMENTARIA'!I164</f>
        <v>1845</v>
      </c>
      <c r="D45" s="115">
        <f>C45/C48*100%</f>
        <v>1.2839886407717127E-2</v>
      </c>
      <c r="E45" s="118"/>
      <c r="F45" s="118"/>
      <c r="G45" s="118"/>
      <c r="H45" s="118"/>
      <c r="I45" s="118">
        <v>1</v>
      </c>
      <c r="J45" s="20">
        <f>SUM(E45:I45)</f>
        <v>1</v>
      </c>
      <c r="K45" s="19"/>
    </row>
    <row r="46" spans="1:11">
      <c r="A46" s="18"/>
      <c r="B46" s="131"/>
      <c r="C46" s="16"/>
      <c r="D46" s="14"/>
      <c r="E46" s="17"/>
      <c r="F46" s="17"/>
      <c r="G46" s="17"/>
      <c r="H46" s="17"/>
      <c r="I46" s="17">
        <f t="shared" ref="I46" si="27">I45*$C45</f>
        <v>1845</v>
      </c>
      <c r="J46" s="119"/>
      <c r="K46" s="19"/>
    </row>
    <row r="47" spans="1:11">
      <c r="A47" s="18"/>
      <c r="B47" s="131"/>
      <c r="C47" s="16"/>
      <c r="D47" s="14"/>
      <c r="E47" s="13"/>
      <c r="F47" s="134"/>
      <c r="G47" s="134"/>
      <c r="H47" s="17"/>
      <c r="I47" s="17"/>
      <c r="J47" s="119"/>
    </row>
    <row r="48" spans="1:11">
      <c r="A48" s="382" t="s">
        <v>70</v>
      </c>
      <c r="B48" s="382"/>
      <c r="C48" s="383">
        <f>SUM(C11:C46)</f>
        <v>143692.85999999999</v>
      </c>
      <c r="D48" s="384">
        <f>SUM(D11:D46)</f>
        <v>1</v>
      </c>
      <c r="E48" s="135">
        <f>E49/$C$48</f>
        <v>0</v>
      </c>
      <c r="F48" s="135">
        <f t="shared" ref="F48:H48" si="28">F49/$C$48</f>
        <v>6.9165211131576074E-2</v>
      </c>
      <c r="G48" s="135">
        <f t="shared" si="28"/>
        <v>0.23680954641726809</v>
      </c>
      <c r="H48" s="135">
        <f t="shared" si="28"/>
        <v>0.31212365040267137</v>
      </c>
      <c r="I48" s="135">
        <f>I49/$C$48</f>
        <v>0.38190159204848456</v>
      </c>
      <c r="K48" s="20"/>
    </row>
    <row r="49" spans="1:12">
      <c r="A49" s="382"/>
      <c r="B49" s="382"/>
      <c r="C49" s="383"/>
      <c r="D49" s="384"/>
      <c r="E49" s="136">
        <f>E12+E14+E16+E18+E20+E22+E24+E26+E28+E30+E32+E34+E36+E38+E40+E42+E44+E46</f>
        <v>0</v>
      </c>
      <c r="F49" s="136">
        <f t="shared" ref="F49:I49" si="29">F12+F14+F16+F18+F20+F22+F24+F26+F28+F30+F32+F34+F36+F38+F40+F42+F44+F46</f>
        <v>9938.5470000000005</v>
      </c>
      <c r="G49" s="136">
        <f t="shared" si="29"/>
        <v>34027.841</v>
      </c>
      <c r="H49" s="136">
        <f t="shared" si="29"/>
        <v>44849.939999999995</v>
      </c>
      <c r="I49" s="136">
        <f t="shared" si="29"/>
        <v>54876.531999999999</v>
      </c>
      <c r="J49" s="121"/>
      <c r="L49" s="120"/>
    </row>
    <row r="50" spans="1:12">
      <c r="A50" s="385" t="s">
        <v>71</v>
      </c>
      <c r="B50" s="385"/>
      <c r="C50" s="386"/>
      <c r="D50" s="387"/>
      <c r="E50" s="137">
        <f>E51/$C$48</f>
        <v>0</v>
      </c>
      <c r="F50" s="137">
        <f t="shared" ref="F50:I50" si="30">F51/$C$48</f>
        <v>6.9165211131576074E-2</v>
      </c>
      <c r="G50" s="137">
        <f t="shared" si="30"/>
        <v>0.30597475754884412</v>
      </c>
      <c r="H50" s="137">
        <f t="shared" si="30"/>
        <v>0.61809840795151549</v>
      </c>
      <c r="I50" s="137">
        <f t="shared" si="30"/>
        <v>1</v>
      </c>
      <c r="J50" s="121"/>
      <c r="L50" s="120"/>
    </row>
    <row r="51" spans="1:12">
      <c r="A51" s="385"/>
      <c r="B51" s="385"/>
      <c r="C51" s="386"/>
      <c r="D51" s="387"/>
      <c r="E51" s="138">
        <f>E49</f>
        <v>0</v>
      </c>
      <c r="F51" s="138">
        <f>F49+E51</f>
        <v>9938.5470000000005</v>
      </c>
      <c r="G51" s="138">
        <f>G49+F51</f>
        <v>43966.387999999999</v>
      </c>
      <c r="H51" s="138">
        <f>H49+G51</f>
        <v>88816.327999999994</v>
      </c>
      <c r="I51" s="138">
        <f>I49+H51</f>
        <v>143692.85999999999</v>
      </c>
    </row>
    <row r="52" spans="1:12" ht="26.25" customHeight="1">
      <c r="A52" s="381"/>
      <c r="B52" s="381"/>
      <c r="C52" s="381"/>
      <c r="D52" s="381"/>
      <c r="E52" s="381"/>
      <c r="F52" s="381"/>
      <c r="G52" s="381"/>
      <c r="H52" s="381"/>
      <c r="I52" s="381"/>
    </row>
    <row r="53" spans="1:12" ht="28.5" customHeight="1">
      <c r="A53" s="381"/>
      <c r="B53" s="381"/>
      <c r="C53" s="381"/>
      <c r="D53" s="381"/>
      <c r="E53" s="381"/>
      <c r="F53" s="381"/>
      <c r="G53" s="381"/>
      <c r="H53" s="381"/>
      <c r="I53" s="381"/>
    </row>
    <row r="54" spans="1:12">
      <c r="A54" s="381"/>
      <c r="B54" s="381"/>
      <c r="C54" s="381"/>
      <c r="D54" s="381"/>
      <c r="E54" s="381"/>
      <c r="F54" s="381"/>
      <c r="G54" s="381"/>
      <c r="H54" s="381"/>
      <c r="I54" s="381"/>
    </row>
    <row r="55" spans="1:12">
      <c r="A55" s="381"/>
      <c r="B55" s="381"/>
      <c r="C55" s="381"/>
      <c r="D55" s="381"/>
      <c r="E55" s="381"/>
      <c r="F55" s="381"/>
      <c r="G55" s="381"/>
      <c r="H55" s="381"/>
      <c r="I55" s="381"/>
    </row>
    <row r="56" spans="1:12">
      <c r="A56" s="381"/>
      <c r="B56" s="381"/>
      <c r="C56" s="381"/>
      <c r="D56" s="381"/>
      <c r="E56" s="381"/>
      <c r="F56" s="381"/>
      <c r="G56" s="381"/>
      <c r="H56" s="381"/>
      <c r="I56" s="381"/>
    </row>
    <row r="57" spans="1:12">
      <c r="A57" s="381"/>
      <c r="B57" s="381"/>
      <c r="C57" s="381"/>
      <c r="D57" s="381"/>
      <c r="E57" s="381"/>
      <c r="F57" s="381"/>
      <c r="G57" s="381"/>
      <c r="H57" s="381"/>
      <c r="I57" s="381"/>
    </row>
    <row r="58" spans="1:12" ht="25.5" customHeight="1">
      <c r="A58" s="381"/>
      <c r="B58" s="381"/>
      <c r="C58" s="381"/>
      <c r="D58" s="381"/>
      <c r="E58" s="381"/>
      <c r="F58" s="381"/>
      <c r="G58" s="381"/>
      <c r="H58" s="381"/>
      <c r="I58" s="381"/>
    </row>
  </sheetData>
  <mergeCells count="17">
    <mergeCell ref="A7:G7"/>
    <mergeCell ref="A1:I4"/>
    <mergeCell ref="A5:I5"/>
    <mergeCell ref="E9:I9"/>
    <mergeCell ref="A8:G8"/>
    <mergeCell ref="A6:F6"/>
    <mergeCell ref="A9:A10"/>
    <mergeCell ref="B9:B10"/>
    <mergeCell ref="C9:C10"/>
    <mergeCell ref="D9:D10"/>
    <mergeCell ref="A52:I58"/>
    <mergeCell ref="A48:B49"/>
    <mergeCell ref="C48:C49"/>
    <mergeCell ref="D48:D49"/>
    <mergeCell ref="A50:B51"/>
    <mergeCell ref="C50:C51"/>
    <mergeCell ref="D50:D51"/>
  </mergeCells>
  <phoneticPr fontId="15" type="noConversion"/>
  <pageMargins left="0.25" right="0.25" top="0.75" bottom="0.75" header="0.3" footer="0.3"/>
  <pageSetup paperSize="9" scale="68" firstPageNumber="0" fitToWidth="0" fitToHeight="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2"/>
  <sheetViews>
    <sheetView zoomScale="110" zoomScaleNormal="110" workbookViewId="0">
      <selection activeCell="D90" sqref="D90"/>
    </sheetView>
  </sheetViews>
  <sheetFormatPr defaultRowHeight="15"/>
  <cols>
    <col min="1" max="1" width="11.5" style="21" bestFit="1" customWidth="1"/>
    <col min="2" max="2" width="47.125" style="22" customWidth="1"/>
    <col min="3" max="3" width="7.625" style="23" bestFit="1" customWidth="1"/>
    <col min="4" max="4" width="9.875" style="23" bestFit="1" customWidth="1"/>
    <col min="5" max="5" width="9.5" style="23" bestFit="1" customWidth="1"/>
    <col min="6" max="6" width="12.625" style="23" customWidth="1"/>
    <col min="7" max="1025" width="9" customWidth="1"/>
  </cols>
  <sheetData>
    <row r="1" spans="1:6" ht="15" customHeight="1">
      <c r="A1" s="416"/>
      <c r="B1" s="417"/>
      <c r="C1" s="417"/>
      <c r="D1" s="417"/>
      <c r="E1" s="417"/>
      <c r="F1" s="418"/>
    </row>
    <row r="2" spans="1:6" ht="15" customHeight="1">
      <c r="A2" s="419"/>
      <c r="B2" s="420"/>
      <c r="C2" s="420"/>
      <c r="D2" s="420"/>
      <c r="E2" s="420"/>
      <c r="F2" s="421"/>
    </row>
    <row r="3" spans="1:6" ht="15" customHeight="1">
      <c r="A3" s="419"/>
      <c r="B3" s="420"/>
      <c r="C3" s="420"/>
      <c r="D3" s="420"/>
      <c r="E3" s="420"/>
      <c r="F3" s="421"/>
    </row>
    <row r="4" spans="1:6" ht="15" customHeight="1">
      <c r="A4" s="419"/>
      <c r="B4" s="420"/>
      <c r="C4" s="420"/>
      <c r="D4" s="420"/>
      <c r="E4" s="420"/>
      <c r="F4" s="421"/>
    </row>
    <row r="5" spans="1:6" ht="14.25">
      <c r="A5" s="422"/>
      <c r="B5" s="423"/>
      <c r="C5" s="423"/>
      <c r="D5" s="423"/>
      <c r="E5" s="423"/>
      <c r="F5" s="424"/>
    </row>
    <row r="6" spans="1:6">
      <c r="A6" s="426" t="s">
        <v>88</v>
      </c>
      <c r="B6" s="427"/>
      <c r="C6" s="427"/>
      <c r="D6" s="427"/>
      <c r="E6" s="427"/>
      <c r="F6" s="427"/>
    </row>
    <row r="7" spans="1:6" ht="21" customHeight="1">
      <c r="A7" s="425" t="str">
        <f>'PLANILHA ORÇAMENTARIA'!A8:D8</f>
        <v>OBRA: REFORMA E.M. PROF. IONYR BASTOS DIAS</v>
      </c>
      <c r="B7" s="425"/>
      <c r="C7" s="425"/>
      <c r="D7" s="425"/>
      <c r="E7" s="425"/>
      <c r="F7" s="425"/>
    </row>
    <row r="8" spans="1:6" ht="14.25">
      <c r="A8" s="429" t="s">
        <v>81</v>
      </c>
      <c r="B8" s="430"/>
      <c r="C8" s="430"/>
      <c r="D8" s="430"/>
      <c r="E8" s="430"/>
      <c r="F8" s="431"/>
    </row>
    <row r="9" spans="1:6" ht="26.25" customHeight="1">
      <c r="A9" s="428" t="s">
        <v>254</v>
      </c>
      <c r="B9" s="428"/>
      <c r="C9" s="428"/>
      <c r="D9" s="428"/>
      <c r="E9" s="428"/>
      <c r="F9" s="428"/>
    </row>
    <row r="10" spans="1:6" ht="14.25" customHeight="1">
      <c r="A10" s="405" t="s">
        <v>82</v>
      </c>
      <c r="B10" s="405"/>
      <c r="C10" s="405"/>
      <c r="D10" s="405"/>
      <c r="E10" s="405"/>
      <c r="F10" s="405"/>
    </row>
    <row r="11" spans="1:6" ht="14.25" customHeight="1">
      <c r="A11" s="64" t="s">
        <v>72</v>
      </c>
      <c r="B11" s="29" t="s">
        <v>73</v>
      </c>
      <c r="C11" s="29" t="s">
        <v>74</v>
      </c>
      <c r="D11" s="29" t="s">
        <v>75</v>
      </c>
      <c r="E11" s="29" t="s">
        <v>76</v>
      </c>
      <c r="F11" s="29" t="s">
        <v>77</v>
      </c>
    </row>
    <row r="12" spans="1:6" ht="14.25" customHeight="1">
      <c r="A12" s="403" t="s">
        <v>78</v>
      </c>
      <c r="B12" s="403"/>
      <c r="C12" s="403"/>
      <c r="D12" s="403"/>
      <c r="E12" s="403"/>
      <c r="F12" s="403"/>
    </row>
    <row r="13" spans="1:6" ht="38.25">
      <c r="A13" s="64" t="s">
        <v>90</v>
      </c>
      <c r="B13" s="30" t="s">
        <v>200</v>
      </c>
      <c r="C13" s="29" t="s">
        <v>74</v>
      </c>
      <c r="D13" s="31">
        <v>1</v>
      </c>
      <c r="E13" s="32">
        <v>443.39</v>
      </c>
      <c r="F13" s="32">
        <f>ROUND(E13*D13,2)</f>
        <v>443.39</v>
      </c>
    </row>
    <row r="14" spans="1:6" ht="14.25">
      <c r="A14" s="404" t="s">
        <v>79</v>
      </c>
      <c r="B14" s="404"/>
      <c r="C14" s="404"/>
      <c r="D14" s="404"/>
      <c r="E14" s="404"/>
      <c r="F14" s="65">
        <f>SUM(F13:F13)</f>
        <v>443.39</v>
      </c>
    </row>
    <row r="15" spans="1:6" ht="14.25">
      <c r="A15" s="404" t="s">
        <v>80</v>
      </c>
      <c r="B15" s="404"/>
      <c r="C15" s="404"/>
      <c r="D15" s="404"/>
      <c r="E15" s="404"/>
      <c r="F15" s="32">
        <f>(F14/0.99)</f>
        <v>447.86868686868684</v>
      </c>
    </row>
    <row r="16" spans="1:6" ht="14.25">
      <c r="A16" s="405" t="s">
        <v>256</v>
      </c>
      <c r="B16" s="405"/>
      <c r="C16" s="405"/>
      <c r="D16" s="405"/>
      <c r="E16" s="405"/>
      <c r="F16" s="405"/>
    </row>
    <row r="17" spans="1:6" ht="14.25">
      <c r="A17" s="405" t="s">
        <v>255</v>
      </c>
      <c r="B17" s="405"/>
      <c r="C17" s="405"/>
      <c r="D17" s="405"/>
      <c r="E17" s="405"/>
      <c r="F17" s="405"/>
    </row>
    <row r="18" spans="1:6">
      <c r="A18" s="406"/>
      <c r="B18" s="406"/>
      <c r="C18" s="406"/>
      <c r="D18" s="406"/>
      <c r="E18" s="406"/>
      <c r="F18" s="406"/>
    </row>
    <row r="19" spans="1:6" ht="14.25">
      <c r="A19" s="407" t="s">
        <v>784</v>
      </c>
      <c r="B19" s="407"/>
      <c r="C19" s="407"/>
      <c r="D19" s="407"/>
      <c r="E19" s="407"/>
      <c r="F19" s="407"/>
    </row>
    <row r="20" spans="1:6" ht="15" customHeight="1">
      <c r="A20" s="408" t="s">
        <v>562</v>
      </c>
      <c r="B20" s="408"/>
      <c r="C20" s="408"/>
      <c r="D20" s="408"/>
      <c r="E20" s="408"/>
      <c r="F20" s="408"/>
    </row>
    <row r="21" spans="1:6" ht="14.25">
      <c r="A21" s="409" t="s">
        <v>563</v>
      </c>
      <c r="B21" s="409"/>
      <c r="C21" s="409"/>
      <c r="D21" s="409"/>
      <c r="E21" s="409"/>
      <c r="F21" s="409"/>
    </row>
    <row r="22" spans="1:6" ht="14.25">
      <c r="A22" s="236" t="s">
        <v>72</v>
      </c>
      <c r="B22" s="237" t="s">
        <v>73</v>
      </c>
      <c r="C22" s="237" t="s">
        <v>74</v>
      </c>
      <c r="D22" s="237" t="s">
        <v>75</v>
      </c>
      <c r="E22" s="237" t="s">
        <v>76</v>
      </c>
      <c r="F22" s="237" t="s">
        <v>77</v>
      </c>
    </row>
    <row r="23" spans="1:6" ht="14.25">
      <c r="A23" s="414" t="s">
        <v>78</v>
      </c>
      <c r="B23" s="414"/>
      <c r="C23" s="414"/>
      <c r="D23" s="414"/>
      <c r="E23" s="414"/>
      <c r="F23" s="414"/>
    </row>
    <row r="24" spans="1:6" ht="14.25">
      <c r="A24" s="236" t="s">
        <v>564</v>
      </c>
      <c r="B24" s="238" t="s">
        <v>560</v>
      </c>
      <c r="C24" s="237" t="s">
        <v>307</v>
      </c>
      <c r="D24" s="239">
        <v>1</v>
      </c>
      <c r="E24" s="240">
        <f>COTAÇÃO!D11</f>
        <v>509.5</v>
      </c>
      <c r="F24" s="240">
        <f>D24*E24</f>
        <v>509.5</v>
      </c>
    </row>
    <row r="25" spans="1:6" ht="14.25">
      <c r="A25" s="415" t="s">
        <v>79</v>
      </c>
      <c r="B25" s="415"/>
      <c r="C25" s="415"/>
      <c r="D25" s="415"/>
      <c r="E25" s="415"/>
      <c r="F25" s="240">
        <f>SUM(F24:F24)</f>
        <v>509.5</v>
      </c>
    </row>
    <row r="26" spans="1:6" ht="14.25">
      <c r="A26" s="414" t="s">
        <v>302</v>
      </c>
      <c r="B26" s="414"/>
      <c r="C26" s="414"/>
      <c r="D26" s="414"/>
      <c r="E26" s="414"/>
      <c r="F26" s="414"/>
    </row>
    <row r="27" spans="1:6" ht="14.25">
      <c r="A27" s="237">
        <v>2696</v>
      </c>
      <c r="B27" s="241" t="s">
        <v>565</v>
      </c>
      <c r="C27" s="237" t="s">
        <v>303</v>
      </c>
      <c r="D27" s="242">
        <v>1</v>
      </c>
      <c r="E27" s="237">
        <v>17.07</v>
      </c>
      <c r="F27" s="243">
        <f>D27*E27</f>
        <v>17.07</v>
      </c>
    </row>
    <row r="28" spans="1:6" ht="14.25">
      <c r="A28" s="415" t="s">
        <v>304</v>
      </c>
      <c r="B28" s="415"/>
      <c r="C28" s="415"/>
      <c r="D28" s="415"/>
      <c r="E28" s="415"/>
      <c r="F28" s="240">
        <f>SUM(F27:F27)</f>
        <v>17.07</v>
      </c>
    </row>
    <row r="29" spans="1:6" ht="14.25">
      <c r="A29" s="415" t="s">
        <v>80</v>
      </c>
      <c r="B29" s="415"/>
      <c r="C29" s="415"/>
      <c r="D29" s="415"/>
      <c r="E29" s="415"/>
      <c r="F29" s="240">
        <f>F25+F28</f>
        <v>526.57000000000005</v>
      </c>
    </row>
    <row r="30" spans="1:6" ht="14.25">
      <c r="A30" s="410" t="s">
        <v>566</v>
      </c>
      <c r="B30" s="410"/>
      <c r="C30" s="410"/>
      <c r="D30" s="410"/>
      <c r="E30" s="410"/>
      <c r="F30" s="410"/>
    </row>
    <row r="31" spans="1:6" ht="14.25">
      <c r="A31" s="410" t="s">
        <v>567</v>
      </c>
      <c r="B31" s="410"/>
      <c r="C31" s="410"/>
      <c r="D31" s="410"/>
      <c r="E31" s="410"/>
      <c r="F31" s="410"/>
    </row>
    <row r="32" spans="1:6" ht="14.25">
      <c r="A32" s="411"/>
      <c r="B32" s="412"/>
      <c r="C32" s="412"/>
      <c r="D32" s="412"/>
      <c r="E32" s="412"/>
      <c r="F32" s="413"/>
    </row>
    <row r="33" spans="1:6" ht="14.25">
      <c r="A33" s="407" t="s">
        <v>258</v>
      </c>
      <c r="B33" s="407"/>
      <c r="C33" s="407"/>
      <c r="D33" s="407"/>
      <c r="E33" s="407"/>
      <c r="F33" s="407"/>
    </row>
    <row r="34" spans="1:6" ht="15" customHeight="1">
      <c r="A34" s="432" t="s">
        <v>310</v>
      </c>
      <c r="B34" s="432"/>
      <c r="C34" s="432"/>
      <c r="D34" s="432"/>
      <c r="E34" s="432"/>
      <c r="F34" s="432"/>
    </row>
    <row r="35" spans="1:6" ht="14.25">
      <c r="A35" s="433" t="s">
        <v>305</v>
      </c>
      <c r="B35" s="433"/>
      <c r="C35" s="433"/>
      <c r="D35" s="433"/>
      <c r="E35" s="433"/>
      <c r="F35" s="433"/>
    </row>
    <row r="36" spans="1:6" ht="14.25">
      <c r="A36" s="204" t="s">
        <v>72</v>
      </c>
      <c r="B36" s="201" t="s">
        <v>73</v>
      </c>
      <c r="C36" s="201" t="s">
        <v>74</v>
      </c>
      <c r="D36" s="201" t="s">
        <v>75</v>
      </c>
      <c r="E36" s="201" t="s">
        <v>76</v>
      </c>
      <c r="F36" s="201" t="s">
        <v>77</v>
      </c>
    </row>
    <row r="37" spans="1:6" ht="14.25">
      <c r="A37" s="434" t="s">
        <v>78</v>
      </c>
      <c r="B37" s="434"/>
      <c r="C37" s="434"/>
      <c r="D37" s="434"/>
      <c r="E37" s="434"/>
      <c r="F37" s="434"/>
    </row>
    <row r="38" spans="1:6" ht="14.25">
      <c r="A38" s="204" t="s">
        <v>311</v>
      </c>
      <c r="B38" s="205">
        <f>[1]COTAÇÃO!B18</f>
        <v>0</v>
      </c>
      <c r="C38" s="201" t="s">
        <v>1</v>
      </c>
      <c r="D38" s="206">
        <v>1</v>
      </c>
      <c r="E38" s="203">
        <f>[1]COTAÇÃO!D21</f>
        <v>3100</v>
      </c>
      <c r="F38" s="203">
        <f>D38*E38</f>
        <v>3100</v>
      </c>
    </row>
    <row r="39" spans="1:6" ht="14.25">
      <c r="A39" s="435" t="s">
        <v>79</v>
      </c>
      <c r="B39" s="435"/>
      <c r="C39" s="435"/>
      <c r="D39" s="435"/>
      <c r="E39" s="435"/>
      <c r="F39" s="203">
        <f>SUM(F38:F38)</f>
        <v>3100</v>
      </c>
    </row>
    <row r="40" spans="1:6" ht="14.25">
      <c r="A40" s="434" t="s">
        <v>302</v>
      </c>
      <c r="B40" s="434"/>
      <c r="C40" s="434"/>
      <c r="D40" s="434"/>
      <c r="E40" s="434"/>
      <c r="F40" s="434"/>
    </row>
    <row r="41" spans="1:6" ht="14.25">
      <c r="A41" s="201">
        <v>246</v>
      </c>
      <c r="B41" s="208" t="s">
        <v>312</v>
      </c>
      <c r="C41" s="206" t="s">
        <v>303</v>
      </c>
      <c r="D41" s="206">
        <v>1.5</v>
      </c>
      <c r="E41" s="201">
        <v>12.09</v>
      </c>
      <c r="F41" s="206">
        <f>D41*E41</f>
        <v>18.134999999999998</v>
      </c>
    </row>
    <row r="42" spans="1:6" ht="14.25">
      <c r="A42" s="201">
        <v>2696</v>
      </c>
      <c r="B42" s="208" t="s">
        <v>313</v>
      </c>
      <c r="C42" s="206" t="s">
        <v>303</v>
      </c>
      <c r="D42" s="206">
        <v>1.5</v>
      </c>
      <c r="E42" s="201">
        <v>17.07</v>
      </c>
      <c r="F42" s="206">
        <f>D42*E42</f>
        <v>25.605</v>
      </c>
    </row>
    <row r="43" spans="1:6" ht="14.25">
      <c r="A43" s="435" t="s">
        <v>304</v>
      </c>
      <c r="B43" s="435"/>
      <c r="C43" s="435"/>
      <c r="D43" s="435"/>
      <c r="E43" s="435"/>
      <c r="F43" s="203">
        <f>SUM(F41:F42)</f>
        <v>43.739999999999995</v>
      </c>
    </row>
    <row r="44" spans="1:6" ht="14.25">
      <c r="A44" s="435" t="s">
        <v>80</v>
      </c>
      <c r="B44" s="435"/>
      <c r="C44" s="435"/>
      <c r="D44" s="435"/>
      <c r="E44" s="435"/>
      <c r="F44" s="203">
        <f>F43+F39</f>
        <v>3143.74</v>
      </c>
    </row>
    <row r="45" spans="1:6" ht="14.25">
      <c r="A45" s="436" t="s">
        <v>314</v>
      </c>
      <c r="B45" s="436"/>
      <c r="C45" s="436"/>
      <c r="D45" s="436"/>
      <c r="E45" s="436"/>
      <c r="F45" s="436"/>
    </row>
    <row r="46" spans="1:6" ht="14.25">
      <c r="A46" s="436" t="s">
        <v>315</v>
      </c>
      <c r="B46" s="436"/>
      <c r="C46" s="436"/>
      <c r="D46" s="436"/>
      <c r="E46" s="436"/>
      <c r="F46" s="436"/>
    </row>
    <row r="47" spans="1:6" ht="14.25">
      <c r="A47" s="437"/>
      <c r="B47" s="437"/>
      <c r="C47" s="437"/>
      <c r="D47" s="437"/>
      <c r="E47" s="437"/>
      <c r="F47" s="437"/>
    </row>
    <row r="48" spans="1:6" ht="14.25">
      <c r="A48" s="407" t="s">
        <v>300</v>
      </c>
      <c r="B48" s="407"/>
      <c r="C48" s="407"/>
      <c r="D48" s="407"/>
      <c r="E48" s="407"/>
      <c r="F48" s="407"/>
    </row>
    <row r="49" spans="1:6" ht="15" customHeight="1">
      <c r="A49" s="432" t="s">
        <v>332</v>
      </c>
      <c r="B49" s="432"/>
      <c r="C49" s="432"/>
      <c r="D49" s="432"/>
      <c r="E49" s="432"/>
      <c r="F49" s="432"/>
    </row>
    <row r="50" spans="1:6" ht="14.25">
      <c r="A50" s="433" t="s">
        <v>305</v>
      </c>
      <c r="B50" s="433"/>
      <c r="C50" s="433"/>
      <c r="D50" s="433"/>
      <c r="E50" s="433"/>
      <c r="F50" s="433"/>
    </row>
    <row r="51" spans="1:6" ht="14.25">
      <c r="A51" s="204" t="s">
        <v>72</v>
      </c>
      <c r="B51" s="201" t="s">
        <v>73</v>
      </c>
      <c r="C51" s="201" t="s">
        <v>74</v>
      </c>
      <c r="D51" s="201" t="s">
        <v>75</v>
      </c>
      <c r="E51" s="201" t="s">
        <v>76</v>
      </c>
      <c r="F51" s="201" t="s">
        <v>77</v>
      </c>
    </row>
    <row r="52" spans="1:6" ht="14.25">
      <c r="A52" s="434" t="s">
        <v>78</v>
      </c>
      <c r="B52" s="434"/>
      <c r="C52" s="434"/>
      <c r="D52" s="434"/>
      <c r="E52" s="434"/>
      <c r="F52" s="434"/>
    </row>
    <row r="53" spans="1:6" ht="14.25">
      <c r="A53" s="204" t="s">
        <v>306</v>
      </c>
      <c r="B53" s="205" t="s">
        <v>333</v>
      </c>
      <c r="C53" s="201" t="s">
        <v>307</v>
      </c>
      <c r="D53" s="202">
        <v>1</v>
      </c>
      <c r="E53" s="203">
        <v>137.19999999999999</v>
      </c>
      <c r="F53" s="203">
        <f>D53*E53</f>
        <v>137.19999999999999</v>
      </c>
    </row>
    <row r="54" spans="1:6" ht="14.25">
      <c r="A54" s="435" t="s">
        <v>79</v>
      </c>
      <c r="B54" s="435"/>
      <c r="C54" s="435"/>
      <c r="D54" s="435"/>
      <c r="E54" s="435"/>
      <c r="F54" s="203">
        <f>SUM(F53:F53)</f>
        <v>137.19999999999999</v>
      </c>
    </row>
    <row r="55" spans="1:6" ht="14.25">
      <c r="A55" s="434" t="s">
        <v>302</v>
      </c>
      <c r="B55" s="434"/>
      <c r="C55" s="434"/>
      <c r="D55" s="434"/>
      <c r="E55" s="434"/>
      <c r="F55" s="434"/>
    </row>
    <row r="56" spans="1:6" ht="14.25">
      <c r="A56" s="207"/>
      <c r="B56" s="207"/>
      <c r="C56" s="207"/>
      <c r="D56" s="207"/>
      <c r="E56" s="207"/>
      <c r="F56" s="207"/>
    </row>
    <row r="57" spans="1:6" ht="14.25">
      <c r="A57" s="435" t="s">
        <v>304</v>
      </c>
      <c r="B57" s="435"/>
      <c r="C57" s="435"/>
      <c r="D57" s="435"/>
      <c r="E57" s="435"/>
      <c r="F57" s="203">
        <f>SUM(F56:F56)</f>
        <v>0</v>
      </c>
    </row>
    <row r="58" spans="1:6" ht="14.25">
      <c r="A58" s="435" t="s">
        <v>80</v>
      </c>
      <c r="B58" s="435"/>
      <c r="C58" s="435"/>
      <c r="D58" s="435"/>
      <c r="E58" s="435"/>
      <c r="F58" s="203">
        <f>F54</f>
        <v>137.19999999999999</v>
      </c>
    </row>
    <row r="59" spans="1:6" ht="14.25">
      <c r="A59" s="436" t="s">
        <v>308</v>
      </c>
      <c r="B59" s="436"/>
      <c r="C59" s="436"/>
      <c r="D59" s="436"/>
      <c r="E59" s="436"/>
      <c r="F59" s="436"/>
    </row>
    <row r="60" spans="1:6" ht="14.25">
      <c r="A60" s="436" t="s">
        <v>309</v>
      </c>
      <c r="B60" s="436"/>
      <c r="C60" s="436"/>
      <c r="D60" s="436"/>
      <c r="E60" s="436"/>
      <c r="F60" s="436"/>
    </row>
    <row r="61" spans="1:6" ht="14.25">
      <c r="A61" s="411"/>
      <c r="B61" s="412"/>
      <c r="C61" s="412"/>
      <c r="D61" s="412"/>
      <c r="E61" s="412"/>
      <c r="F61" s="413"/>
    </row>
    <row r="62" spans="1:6" ht="14.25">
      <c r="A62" s="407" t="s">
        <v>301</v>
      </c>
      <c r="B62" s="407"/>
      <c r="C62" s="407"/>
      <c r="D62" s="407"/>
      <c r="E62" s="407"/>
      <c r="F62" s="407"/>
    </row>
    <row r="63" spans="1:6" s="256" customFormat="1" ht="28.5" customHeight="1">
      <c r="A63" s="408" t="s">
        <v>785</v>
      </c>
      <c r="B63" s="408"/>
      <c r="C63" s="408"/>
      <c r="D63" s="408"/>
      <c r="E63" s="408"/>
      <c r="F63" s="408"/>
    </row>
    <row r="64" spans="1:6" s="256" customFormat="1" ht="12.75">
      <c r="A64" s="409" t="s">
        <v>563</v>
      </c>
      <c r="B64" s="409"/>
      <c r="C64" s="409"/>
      <c r="D64" s="409"/>
      <c r="E64" s="409"/>
      <c r="F64" s="409"/>
    </row>
    <row r="65" spans="1:6" s="256" customFormat="1" ht="12.75">
      <c r="A65" s="236" t="s">
        <v>72</v>
      </c>
      <c r="B65" s="237" t="s">
        <v>73</v>
      </c>
      <c r="C65" s="237" t="s">
        <v>74</v>
      </c>
      <c r="D65" s="237" t="s">
        <v>75</v>
      </c>
      <c r="E65" s="237" t="s">
        <v>76</v>
      </c>
      <c r="F65" s="237" t="s">
        <v>77</v>
      </c>
    </row>
    <row r="66" spans="1:6" s="256" customFormat="1" ht="12.75">
      <c r="A66" s="414" t="s">
        <v>78</v>
      </c>
      <c r="B66" s="414"/>
      <c r="C66" s="414"/>
      <c r="D66" s="414"/>
      <c r="E66" s="414"/>
      <c r="F66" s="414"/>
    </row>
    <row r="67" spans="1:6" s="256" customFormat="1" ht="38.25">
      <c r="A67" s="236">
        <v>11524</v>
      </c>
      <c r="B67" s="238" t="s">
        <v>786</v>
      </c>
      <c r="C67" s="237" t="s">
        <v>787</v>
      </c>
      <c r="D67" s="239">
        <v>1</v>
      </c>
      <c r="E67" s="240">
        <v>24.54</v>
      </c>
      <c r="F67" s="240">
        <f>D67*E67</f>
        <v>24.54</v>
      </c>
    </row>
    <row r="68" spans="1:6" s="256" customFormat="1" ht="12.75">
      <c r="A68" s="415" t="s">
        <v>79</v>
      </c>
      <c r="B68" s="415"/>
      <c r="C68" s="415"/>
      <c r="D68" s="415"/>
      <c r="E68" s="415"/>
      <c r="F68" s="240">
        <f>SUM(F67:F67)</f>
        <v>24.54</v>
      </c>
    </row>
    <row r="69" spans="1:6" s="256" customFormat="1" ht="12.75">
      <c r="A69" s="414" t="s">
        <v>302</v>
      </c>
      <c r="B69" s="414"/>
      <c r="C69" s="414"/>
      <c r="D69" s="414"/>
      <c r="E69" s="414"/>
      <c r="F69" s="414"/>
    </row>
    <row r="70" spans="1:6" s="256" customFormat="1" ht="12.75">
      <c r="A70" s="237">
        <v>88261</v>
      </c>
      <c r="B70" s="238" t="s">
        <v>788</v>
      </c>
      <c r="C70" s="237" t="s">
        <v>303</v>
      </c>
      <c r="D70" s="242">
        <v>0.25</v>
      </c>
      <c r="E70" s="237">
        <v>15.01</v>
      </c>
      <c r="F70" s="243">
        <f>D70*E70</f>
        <v>3.7524999999999999</v>
      </c>
    </row>
    <row r="71" spans="1:6" s="256" customFormat="1" ht="12.75">
      <c r="A71" s="415" t="s">
        <v>304</v>
      </c>
      <c r="B71" s="415"/>
      <c r="C71" s="415"/>
      <c r="D71" s="415"/>
      <c r="E71" s="415"/>
      <c r="F71" s="240">
        <f>SUM(F70:F70)</f>
        <v>3.7524999999999999</v>
      </c>
    </row>
    <row r="72" spans="1:6" s="256" customFormat="1" ht="12.75">
      <c r="A72" s="415" t="s">
        <v>80</v>
      </c>
      <c r="B72" s="415"/>
      <c r="C72" s="415"/>
      <c r="D72" s="415"/>
      <c r="E72" s="415"/>
      <c r="F72" s="240">
        <f>F68+F71</f>
        <v>28.2925</v>
      </c>
    </row>
    <row r="73" spans="1:6" s="256" customFormat="1" ht="12.75">
      <c r="A73" s="410" t="s">
        <v>789</v>
      </c>
      <c r="B73" s="410"/>
      <c r="C73" s="410"/>
      <c r="D73" s="410"/>
      <c r="E73" s="410"/>
      <c r="F73" s="410"/>
    </row>
    <row r="74" spans="1:6" s="256" customFormat="1" ht="12.75">
      <c r="A74" s="410" t="s">
        <v>790</v>
      </c>
      <c r="B74" s="410"/>
      <c r="C74" s="410"/>
      <c r="D74" s="410"/>
      <c r="E74" s="410"/>
      <c r="F74" s="410"/>
    </row>
    <row r="75" spans="1:6" ht="17.25" customHeight="1">
      <c r="A75" s="394"/>
      <c r="B75" s="395"/>
      <c r="C75" s="395"/>
      <c r="D75" s="395"/>
      <c r="E75" s="395"/>
      <c r="F75" s="396"/>
    </row>
    <row r="76" spans="1:6" ht="17.25" customHeight="1">
      <c r="A76" s="397"/>
      <c r="B76" s="398"/>
      <c r="C76" s="398"/>
      <c r="D76" s="398"/>
      <c r="E76" s="398"/>
      <c r="F76" s="399"/>
    </row>
    <row r="77" spans="1:6" ht="15" customHeight="1">
      <c r="A77" s="397"/>
      <c r="B77" s="398"/>
      <c r="C77" s="398"/>
      <c r="D77" s="398"/>
      <c r="E77" s="398"/>
      <c r="F77" s="399"/>
    </row>
    <row r="78" spans="1:6" ht="15" customHeight="1">
      <c r="A78" s="397"/>
      <c r="B78" s="398"/>
      <c r="C78" s="398"/>
      <c r="D78" s="398"/>
      <c r="E78" s="398"/>
      <c r="F78" s="399"/>
    </row>
    <row r="79" spans="1:6" ht="15" customHeight="1">
      <c r="A79" s="397"/>
      <c r="B79" s="398"/>
      <c r="C79" s="398"/>
      <c r="D79" s="398"/>
      <c r="E79" s="398"/>
      <c r="F79" s="399"/>
    </row>
    <row r="80" spans="1:6" ht="15" customHeight="1">
      <c r="A80" s="397"/>
      <c r="B80" s="398"/>
      <c r="C80" s="398"/>
      <c r="D80" s="398"/>
      <c r="E80" s="398"/>
      <c r="F80" s="399"/>
    </row>
    <row r="81" spans="1:6" ht="15" customHeight="1">
      <c r="A81" s="397"/>
      <c r="B81" s="398"/>
      <c r="C81" s="398"/>
      <c r="D81" s="398"/>
      <c r="E81" s="398"/>
      <c r="F81" s="399"/>
    </row>
    <row r="82" spans="1:6" ht="36" customHeight="1">
      <c r="A82" s="400"/>
      <c r="B82" s="401"/>
      <c r="C82" s="401"/>
      <c r="D82" s="401"/>
      <c r="E82" s="401"/>
      <c r="F82" s="402"/>
    </row>
  </sheetData>
  <mergeCells count="56">
    <mergeCell ref="A63:F63"/>
    <mergeCell ref="A64:F64"/>
    <mergeCell ref="A66:F66"/>
    <mergeCell ref="A74:F74"/>
    <mergeCell ref="A68:E68"/>
    <mergeCell ref="A69:F69"/>
    <mergeCell ref="A71:E71"/>
    <mergeCell ref="A72:E72"/>
    <mergeCell ref="A73:F73"/>
    <mergeCell ref="A58:E58"/>
    <mergeCell ref="A59:F59"/>
    <mergeCell ref="A60:F60"/>
    <mergeCell ref="A61:F61"/>
    <mergeCell ref="A62:F62"/>
    <mergeCell ref="A50:F50"/>
    <mergeCell ref="A52:F52"/>
    <mergeCell ref="A54:E54"/>
    <mergeCell ref="A55:F55"/>
    <mergeCell ref="A57:E57"/>
    <mergeCell ref="A45:F45"/>
    <mergeCell ref="A46:F46"/>
    <mergeCell ref="A47:F47"/>
    <mergeCell ref="A48:F48"/>
    <mergeCell ref="A49:F49"/>
    <mergeCell ref="A37:F37"/>
    <mergeCell ref="A39:E39"/>
    <mergeCell ref="A40:F40"/>
    <mergeCell ref="A43:E43"/>
    <mergeCell ref="A44:E44"/>
    <mergeCell ref="A26:F26"/>
    <mergeCell ref="A28:E28"/>
    <mergeCell ref="A29:E29"/>
    <mergeCell ref="A34:F34"/>
    <mergeCell ref="A35:F35"/>
    <mergeCell ref="A1:F5"/>
    <mergeCell ref="A7:F7"/>
    <mergeCell ref="A6:F6"/>
    <mergeCell ref="A9:F9"/>
    <mergeCell ref="A10:F10"/>
    <mergeCell ref="A8:F8"/>
    <mergeCell ref="A75:F82"/>
    <mergeCell ref="A12:F12"/>
    <mergeCell ref="A14:E14"/>
    <mergeCell ref="A15:E15"/>
    <mergeCell ref="A16:F16"/>
    <mergeCell ref="A17:F17"/>
    <mergeCell ref="A18:F18"/>
    <mergeCell ref="A19:F19"/>
    <mergeCell ref="A20:F20"/>
    <mergeCell ref="A21:F21"/>
    <mergeCell ref="A30:F30"/>
    <mergeCell ref="A31:F31"/>
    <mergeCell ref="A32:F32"/>
    <mergeCell ref="A33:F33"/>
    <mergeCell ref="A23:F23"/>
    <mergeCell ref="A25:E25"/>
  </mergeCells>
  <pageMargins left="0.42" right="0.25" top="0.75" bottom="0.75" header="0.3" footer="0.3"/>
  <pageSetup paperSize="9" scale="89" firstPageNumber="0" fitToWidth="0"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CBCE-AA27-48F8-B10D-88B196C6AD95}">
  <dimension ref="A1:E35"/>
  <sheetViews>
    <sheetView workbookViewId="0">
      <selection activeCell="N14" sqref="N14"/>
    </sheetView>
  </sheetViews>
  <sheetFormatPr defaultRowHeight="14.25"/>
  <cols>
    <col min="1" max="1" width="6.875" bestFit="1" customWidth="1"/>
    <col min="3" max="3" width="33.125" customWidth="1"/>
    <col min="4" max="4" width="11.5" bestFit="1" customWidth="1"/>
    <col min="5" max="5" width="36" bestFit="1" customWidth="1"/>
  </cols>
  <sheetData>
    <row r="1" spans="1:5">
      <c r="A1" s="440"/>
      <c r="B1" s="441"/>
      <c r="C1" s="441"/>
      <c r="D1" s="441"/>
      <c r="E1" s="442"/>
    </row>
    <row r="2" spans="1:5">
      <c r="A2" s="443"/>
      <c r="B2" s="444"/>
      <c r="C2" s="444"/>
      <c r="D2" s="444"/>
      <c r="E2" s="445"/>
    </row>
    <row r="3" spans="1:5">
      <c r="A3" s="443"/>
      <c r="B3" s="444"/>
      <c r="C3" s="444"/>
      <c r="D3" s="444"/>
      <c r="E3" s="445"/>
    </row>
    <row r="4" spans="1:5">
      <c r="A4" s="443"/>
      <c r="B4" s="444"/>
      <c r="C4" s="444"/>
      <c r="D4" s="444"/>
      <c r="E4" s="445"/>
    </row>
    <row r="5" spans="1:5">
      <c r="A5" s="446"/>
      <c r="B5" s="447"/>
      <c r="C5" s="447"/>
      <c r="D5" s="447"/>
      <c r="E5" s="448"/>
    </row>
    <row r="6" spans="1:5">
      <c r="A6" s="449" t="s">
        <v>316</v>
      </c>
      <c r="B6" s="449"/>
      <c r="C6" s="449"/>
      <c r="D6" s="449"/>
      <c r="E6" s="449"/>
    </row>
    <row r="7" spans="1:5">
      <c r="A7" s="450" t="str">
        <f>'PLANILHA ORÇAMENTARIA'!A8:D8</f>
        <v>OBRA: REFORMA E.M. PROF. IONYR BASTOS DIAS</v>
      </c>
      <c r="B7" s="450"/>
      <c r="C7" s="450"/>
      <c r="D7" s="450"/>
      <c r="E7" s="450"/>
    </row>
    <row r="8" spans="1:5">
      <c r="A8" s="382" t="s">
        <v>326</v>
      </c>
      <c r="B8" s="382"/>
      <c r="C8" s="382"/>
      <c r="D8" s="382"/>
      <c r="E8" s="382"/>
    </row>
    <row r="9" spans="1:5" ht="25.5" customHeight="1">
      <c r="A9" s="209" t="s">
        <v>317</v>
      </c>
      <c r="B9" s="438" t="s">
        <v>568</v>
      </c>
      <c r="C9" s="439"/>
      <c r="D9" s="210">
        <v>489</v>
      </c>
      <c r="E9" s="253" t="s">
        <v>569</v>
      </c>
    </row>
    <row r="10" spans="1:5">
      <c r="A10" s="209" t="s">
        <v>318</v>
      </c>
      <c r="B10" s="438" t="s">
        <v>568</v>
      </c>
      <c r="C10" s="439"/>
      <c r="D10" s="210">
        <v>530</v>
      </c>
      <c r="E10" s="253" t="s">
        <v>570</v>
      </c>
    </row>
    <row r="11" spans="1:5">
      <c r="A11" s="451" t="s">
        <v>320</v>
      </c>
      <c r="B11" s="451"/>
      <c r="C11" s="451"/>
      <c r="D11" s="211">
        <f>(D9+D10)/2</f>
        <v>509.5</v>
      </c>
      <c r="E11" s="212" t="s">
        <v>321</v>
      </c>
    </row>
    <row r="12" spans="1:5">
      <c r="A12" s="382" t="s">
        <v>327</v>
      </c>
      <c r="B12" s="382"/>
      <c r="C12" s="382"/>
      <c r="D12" s="382"/>
      <c r="E12" s="382"/>
    </row>
    <row r="13" spans="1:5" ht="25.5">
      <c r="A13" s="209" t="s">
        <v>317</v>
      </c>
      <c r="B13" s="452" t="s">
        <v>322</v>
      </c>
      <c r="C13" s="452"/>
      <c r="D13" s="210">
        <v>2710</v>
      </c>
      <c r="E13" s="11" t="s">
        <v>323</v>
      </c>
    </row>
    <row r="14" spans="1:5" ht="27" customHeight="1">
      <c r="A14" s="209" t="s">
        <v>318</v>
      </c>
      <c r="B14" s="452" t="s">
        <v>322</v>
      </c>
      <c r="C14" s="452"/>
      <c r="D14" s="210">
        <v>2944.9</v>
      </c>
      <c r="E14" s="11" t="s">
        <v>324</v>
      </c>
    </row>
    <row r="15" spans="1:5" ht="25.5">
      <c r="A15" s="209" t="s">
        <v>319</v>
      </c>
      <c r="B15" s="452" t="s">
        <v>322</v>
      </c>
      <c r="C15" s="452"/>
      <c r="D15" s="210">
        <v>3100</v>
      </c>
      <c r="E15" s="11" t="s">
        <v>325</v>
      </c>
    </row>
    <row r="16" spans="1:5">
      <c r="A16" s="451" t="s">
        <v>320</v>
      </c>
      <c r="B16" s="451"/>
      <c r="C16" s="451"/>
      <c r="D16" s="211">
        <f>SUM(D13:D15)/3</f>
        <v>2918.2999999999997</v>
      </c>
      <c r="E16" s="212" t="s">
        <v>321</v>
      </c>
    </row>
    <row r="17" spans="1:5">
      <c r="A17" s="382" t="s">
        <v>328</v>
      </c>
      <c r="B17" s="382"/>
      <c r="C17" s="382"/>
      <c r="D17" s="382"/>
      <c r="E17" s="382"/>
    </row>
    <row r="18" spans="1:5" ht="25.5">
      <c r="A18" s="209" t="s">
        <v>317</v>
      </c>
      <c r="B18" s="452" t="s">
        <v>328</v>
      </c>
      <c r="C18" s="452"/>
      <c r="D18" s="210">
        <v>127.6</v>
      </c>
      <c r="E18" s="11" t="s">
        <v>330</v>
      </c>
    </row>
    <row r="19" spans="1:5" ht="25.5">
      <c r="A19" s="209" t="s">
        <v>318</v>
      </c>
      <c r="B19" s="452" t="s">
        <v>328</v>
      </c>
      <c r="C19" s="452"/>
      <c r="D19" s="210">
        <v>95</v>
      </c>
      <c r="E19" s="11" t="s">
        <v>331</v>
      </c>
    </row>
    <row r="20" spans="1:5">
      <c r="A20" s="209" t="s">
        <v>319</v>
      </c>
      <c r="B20" s="452" t="s">
        <v>328</v>
      </c>
      <c r="C20" s="452"/>
      <c r="D20" s="210">
        <v>189</v>
      </c>
      <c r="E20" s="11" t="s">
        <v>329</v>
      </c>
    </row>
    <row r="21" spans="1:5">
      <c r="A21" s="451" t="s">
        <v>320</v>
      </c>
      <c r="B21" s="451"/>
      <c r="C21" s="451"/>
      <c r="D21" s="211">
        <f>SUM(D18:D20)/3</f>
        <v>137.20000000000002</v>
      </c>
      <c r="E21" s="212" t="s">
        <v>321</v>
      </c>
    </row>
    <row r="22" spans="1:5">
      <c r="A22" s="213"/>
      <c r="B22" s="214"/>
      <c r="C22" s="215"/>
      <c r="D22" s="216"/>
      <c r="E22" s="213"/>
    </row>
    <row r="23" spans="1:5">
      <c r="A23" s="440"/>
      <c r="B23" s="441"/>
      <c r="C23" s="441"/>
      <c r="D23" s="441"/>
      <c r="E23" s="442"/>
    </row>
    <row r="24" spans="1:5">
      <c r="A24" s="443"/>
      <c r="B24" s="444"/>
      <c r="C24" s="444"/>
      <c r="D24" s="444"/>
      <c r="E24" s="445"/>
    </row>
    <row r="25" spans="1:5">
      <c r="A25" s="443"/>
      <c r="B25" s="444"/>
      <c r="C25" s="444"/>
      <c r="D25" s="444"/>
      <c r="E25" s="445"/>
    </row>
    <row r="26" spans="1:5">
      <c r="A26" s="443"/>
      <c r="B26" s="444"/>
      <c r="C26" s="444"/>
      <c r="D26" s="444"/>
      <c r="E26" s="445"/>
    </row>
    <row r="27" spans="1:5">
      <c r="A27" s="443"/>
      <c r="B27" s="444"/>
      <c r="C27" s="444"/>
      <c r="D27" s="444"/>
      <c r="E27" s="445"/>
    </row>
    <row r="28" spans="1:5">
      <c r="A28" s="443"/>
      <c r="B28" s="444"/>
      <c r="C28" s="444"/>
      <c r="D28" s="444"/>
      <c r="E28" s="445"/>
    </row>
    <row r="29" spans="1:5">
      <c r="A29" s="443"/>
      <c r="B29" s="444"/>
      <c r="C29" s="444"/>
      <c r="D29" s="444"/>
      <c r="E29" s="445"/>
    </row>
    <row r="30" spans="1:5">
      <c r="A30" s="443"/>
      <c r="B30" s="444"/>
      <c r="C30" s="444"/>
      <c r="D30" s="444"/>
      <c r="E30" s="445"/>
    </row>
    <row r="31" spans="1:5">
      <c r="A31" s="443"/>
      <c r="B31" s="444"/>
      <c r="C31" s="444"/>
      <c r="D31" s="444"/>
      <c r="E31" s="445"/>
    </row>
    <row r="32" spans="1:5">
      <c r="A32" s="443"/>
      <c r="B32" s="444"/>
      <c r="C32" s="444"/>
      <c r="D32" s="444"/>
      <c r="E32" s="445"/>
    </row>
    <row r="33" spans="1:5">
      <c r="A33" s="443"/>
      <c r="B33" s="444"/>
      <c r="C33" s="444"/>
      <c r="D33" s="444"/>
      <c r="E33" s="445"/>
    </row>
    <row r="34" spans="1:5">
      <c r="A34" s="443"/>
      <c r="B34" s="444"/>
      <c r="C34" s="444"/>
      <c r="D34" s="444"/>
      <c r="E34" s="445"/>
    </row>
    <row r="35" spans="1:5">
      <c r="A35" s="446"/>
      <c r="B35" s="447"/>
      <c r="C35" s="447"/>
      <c r="D35" s="447"/>
      <c r="E35" s="448"/>
    </row>
  </sheetData>
  <mergeCells count="18">
    <mergeCell ref="A23:E35"/>
    <mergeCell ref="A17:E17"/>
    <mergeCell ref="B18:C18"/>
    <mergeCell ref="B19:C19"/>
    <mergeCell ref="B20:C20"/>
    <mergeCell ref="A21:C21"/>
    <mergeCell ref="A16:C16"/>
    <mergeCell ref="B10:C10"/>
    <mergeCell ref="A11:C11"/>
    <mergeCell ref="A12:E12"/>
    <mergeCell ref="B13:C13"/>
    <mergeCell ref="B14:C14"/>
    <mergeCell ref="B15:C15"/>
    <mergeCell ref="B9:C9"/>
    <mergeCell ref="A1:E5"/>
    <mergeCell ref="A6:E6"/>
    <mergeCell ref="A7:E7"/>
    <mergeCell ref="A8:E8"/>
  </mergeCells>
  <pageMargins left="0.31" right="0.3" top="0.78740157499999996" bottom="0.78740157499999996" header="0.31496062000000002" footer="0.31496062000000002"/>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Template/>
  <TotalTime>404</TotalTime>
  <Application>Microsoft Excel</Application>
  <DocSecurity>0</DocSecurity>
  <ScaleCrop>false</ScaleCrop>
  <HeadingPairs>
    <vt:vector size="4" baseType="variant">
      <vt:variant>
        <vt:lpstr>Planilhas</vt:lpstr>
      </vt:variant>
      <vt:variant>
        <vt:i4>5</vt:i4>
      </vt:variant>
      <vt:variant>
        <vt:lpstr>Intervalos Nomeados</vt:lpstr>
      </vt:variant>
      <vt:variant>
        <vt:i4>10</vt:i4>
      </vt:variant>
    </vt:vector>
  </HeadingPairs>
  <TitlesOfParts>
    <vt:vector size="15" baseType="lpstr">
      <vt:lpstr>PLANILHA ORÇAMENTARIA</vt:lpstr>
      <vt:lpstr>MEMÓRIA DE CÁLCULO</vt:lpstr>
      <vt:lpstr>CRONOGRAMA</vt:lpstr>
      <vt:lpstr>CCU </vt:lpstr>
      <vt:lpstr>COTAÇÃO</vt:lpstr>
      <vt:lpstr>'PLANILHA ORÇAMENTARIA'!_FiltrarBancodeDados</vt:lpstr>
      <vt:lpstr>'CCU '!Area_de_impressao</vt:lpstr>
      <vt:lpstr>COTAÇÃO!Area_de_impressao</vt:lpstr>
      <vt:lpstr>CRONOGRAMA!Area_de_impressao</vt:lpstr>
      <vt:lpstr>'MEMÓRIA DE CÁLCULO'!Area_de_impressao</vt:lpstr>
      <vt:lpstr>'PLANILHA ORÇAMENTARIA'!Area_de_impressao</vt:lpstr>
      <vt:lpstr>'CCU '!Titulos_de_impressao</vt:lpstr>
      <vt:lpstr>CRONOGRAMA!Titulos_de_impressao</vt:lpstr>
      <vt:lpstr>'MEMÓRIA DE CÁLCULO'!Titulos_de_impressao</vt:lpstr>
      <vt:lpstr>'PLANILHA ORÇAMENTARIA'!Titulos_de_impressao</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27421740104</dc:creator>
  <dc:description/>
  <cp:lastModifiedBy>Raphael Luiz Soares Cerqueira</cp:lastModifiedBy>
  <cp:revision>60</cp:revision>
  <cp:lastPrinted>2020-11-24T16:01:33Z</cp:lastPrinted>
  <dcterms:created xsi:type="dcterms:W3CDTF">2012-10-15T18:57:41Z</dcterms:created>
  <dcterms:modified xsi:type="dcterms:W3CDTF">2020-11-24T20:44:45Z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Fnde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